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0" yWindow="30" windowWidth="9435" windowHeight="4875" activeTab="0"/>
  </bookViews>
  <sheets>
    <sheet name="30 yr - 10%" sheetId="1" r:id="rId1"/>
    <sheet name="50 yr - 10%" sheetId="2" r:id="rId2"/>
    <sheet name="30 yr - 13%" sheetId="3" r:id="rId3"/>
    <sheet name="50 yr - 13%" sheetId="4" r:id="rId4"/>
    <sheet name="Cost of Capital" sheetId="5" r:id="rId5"/>
  </sheets>
  <definedNames/>
  <calcPr fullCalcOnLoad="1"/>
</workbook>
</file>

<file path=xl/sharedStrings.xml><?xml version="1.0" encoding="utf-8"?>
<sst xmlns="http://schemas.openxmlformats.org/spreadsheetml/2006/main" count="323" uniqueCount="87">
  <si>
    <t>Book</t>
  </si>
  <si>
    <t>Depreciation</t>
  </si>
  <si>
    <t>Tax</t>
  </si>
  <si>
    <t xml:space="preserve">Rate </t>
  </si>
  <si>
    <t>Base (EoY)</t>
  </si>
  <si>
    <t>Deferred</t>
  </si>
  <si>
    <t>Year</t>
  </si>
  <si>
    <t>Base (BoY)</t>
  </si>
  <si>
    <t>Capital Structure</t>
  </si>
  <si>
    <t>Equity</t>
  </si>
  <si>
    <t>Return on</t>
  </si>
  <si>
    <t>Debt</t>
  </si>
  <si>
    <t>Property</t>
  </si>
  <si>
    <t>Base (Avg)</t>
  </si>
  <si>
    <t>Annual</t>
  </si>
  <si>
    <t>Rev Req</t>
  </si>
  <si>
    <t>Income</t>
  </si>
  <si>
    <t xml:space="preserve">Taxable </t>
  </si>
  <si>
    <t>Inc Tax</t>
  </si>
  <si>
    <t>Payable</t>
  </si>
  <si>
    <t>After Tax Cost of Capital</t>
  </si>
  <si>
    <t>Wtd Cost of Capital (Before Tax)</t>
  </si>
  <si>
    <t>Equity (Before Tax)</t>
  </si>
  <si>
    <t>Wtd Cost of Equity (Before Tax)</t>
  </si>
  <si>
    <t>PV</t>
  </si>
  <si>
    <t>Factor</t>
  </si>
  <si>
    <t xml:space="preserve">Levelized </t>
  </si>
  <si>
    <t>Charge</t>
  </si>
  <si>
    <t>Levelized Chg</t>
  </si>
  <si>
    <t>Inflation Rate</t>
  </si>
  <si>
    <t xml:space="preserve">Tax Rate </t>
  </si>
  <si>
    <t>Book Life</t>
  </si>
  <si>
    <t>Total</t>
  </si>
  <si>
    <t>Differential</t>
  </si>
  <si>
    <t xml:space="preserve">(based on $17.5/$1,000 of assessed value) </t>
  </si>
  <si>
    <t>Property Tax Rate</t>
  </si>
  <si>
    <t>Total Cost of Plant</t>
  </si>
  <si>
    <t>Turbine Generators</t>
  </si>
  <si>
    <t>Percent Utility Usage</t>
  </si>
  <si>
    <t>Utility Plant</t>
  </si>
  <si>
    <t>Cost of Capital</t>
  </si>
  <si>
    <t>Weighted</t>
  </si>
  <si>
    <t xml:space="preserve">Component </t>
  </si>
  <si>
    <t>Component Cost</t>
  </si>
  <si>
    <t xml:space="preserve">Average Cost </t>
  </si>
  <si>
    <t>Item</t>
  </si>
  <si>
    <t>Ratio (%)</t>
  </si>
  <si>
    <t xml:space="preserve">Rate(%) </t>
  </si>
  <si>
    <t>Rate (%)</t>
  </si>
  <si>
    <t>Effect</t>
  </si>
  <si>
    <t>Effective Tax Rate (State &amp; Federal)</t>
  </si>
  <si>
    <t xml:space="preserve">Debt </t>
  </si>
  <si>
    <t>Wtd Cost of Debt</t>
  </si>
  <si>
    <t>Pre-tax Rate of Return</t>
  </si>
  <si>
    <t>Pre-Tax</t>
  </si>
  <si>
    <t>ROR</t>
  </si>
  <si>
    <t>Cost of Capital - 10% Return on Equity</t>
  </si>
  <si>
    <t>Cost of Capital - 13% Return on Equity</t>
  </si>
  <si>
    <t>Total Plant Rev Req (10% ROE)</t>
  </si>
  <si>
    <t>Steam Production</t>
  </si>
  <si>
    <t>Return on Equity</t>
  </si>
  <si>
    <t>Capacity</t>
  </si>
  <si>
    <t>Attachment SPF-2</t>
  </si>
  <si>
    <t>Cap Charge</t>
  </si>
  <si>
    <t>Year 15</t>
  </si>
  <si>
    <t>Year 16</t>
  </si>
  <si>
    <t>Year 31</t>
  </si>
  <si>
    <t>Change</t>
  </si>
  <si>
    <t>Percent Change</t>
  </si>
  <si>
    <t>Decrease in year 31</t>
  </si>
  <si>
    <t>Rate of Return</t>
  </si>
  <si>
    <t>years</t>
  </si>
  <si>
    <t>Over/(Under)</t>
  </si>
  <si>
    <t>NPV 'own'</t>
  </si>
  <si>
    <t xml:space="preserve"> 'own'</t>
  </si>
  <si>
    <t>p. 1 or 4</t>
  </si>
  <si>
    <t>p. 3 or 4</t>
  </si>
  <si>
    <t>p. 2 or 4</t>
  </si>
  <si>
    <t>p. 4 or 4</t>
  </si>
  <si>
    <t>Ownership</t>
  </si>
  <si>
    <t>Capacity Charge</t>
  </si>
  <si>
    <t>Revenue Requirement Analysis - Ownership versus Capacity Charge</t>
  </si>
  <si>
    <t>10% Return on Equity - 30 Year Plant Life</t>
  </si>
  <si>
    <t>10 % Return on Equity - 50 Year Plant Life</t>
  </si>
  <si>
    <t>13 % Return on Equity - 50 Year Plant Life</t>
  </si>
  <si>
    <t>13% Return on Equity - 30 Year Plant Life</t>
  </si>
  <si>
    <t>Revenue Requirement Analysis Ownership versus Capacity Charge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</si>
</sst>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0000000%"/>
    <numFmt numFmtId="166" formatCode="0.000000%"/>
    <numFmt numFmtId="167" formatCode="&quot;$&quot;#,##0.00"/>
    <numFmt numFmtId="168" formatCode="0.0%"/>
    <numFmt numFmtId="169" formatCode="&quot;$&quot;#,##0.0000"/>
    <numFmt numFmtId="170" formatCode="0.000000"/>
    <numFmt numFmtId="171" formatCode="&quot;$&quot;#,##0.000000"/>
    <numFmt numFmtId="172" formatCode="0.0000%"/>
    <numFmt numFmtId="173" formatCode="0.0000"/>
  </numFmts>
  <fonts count="2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1" fillId="3" borderId="0" applyNumberFormat="0" applyBorder="0" applyAlignment="0" applyProtection="0"/>
    <xf numFmtId="0" fontId="15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7" borderId="1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164" fontId="0" fillId="0" borderId="0" xfId="0" applyNumberFormat="1" applyAlignment="1">
      <alignment/>
    </xf>
    <xf numFmtId="5" fontId="0" fillId="0" borderId="0" xfId="0" applyNumberFormat="1" applyAlignment="1">
      <alignment/>
    </xf>
    <xf numFmtId="10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4" fillId="0" borderId="0" xfId="0" applyFont="1" applyAlignment="1">
      <alignment/>
    </xf>
    <xf numFmtId="164" fontId="0" fillId="0" borderId="10" xfId="0" applyNumberFormat="1" applyBorder="1" applyAlignment="1">
      <alignment/>
    </xf>
    <xf numFmtId="164" fontId="0" fillId="0" borderId="0" xfId="0" applyNumberFormat="1" applyBorder="1" applyAlignment="1">
      <alignment/>
    </xf>
    <xf numFmtId="10" fontId="0" fillId="0" borderId="10" xfId="0" applyNumberForma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9" fontId="5" fillId="0" borderId="0" xfId="0" applyNumberFormat="1" applyFont="1" applyAlignment="1">
      <alignment horizontal="center"/>
    </xf>
    <xf numFmtId="10" fontId="5" fillId="0" borderId="0" xfId="0" applyNumberFormat="1" applyFont="1" applyBorder="1" applyAlignment="1">
      <alignment/>
    </xf>
    <xf numFmtId="10" fontId="5" fillId="0" borderId="0" xfId="0" applyNumberFormat="1" applyFont="1" applyAlignment="1">
      <alignment horizontal="center"/>
    </xf>
    <xf numFmtId="10" fontId="5" fillId="0" borderId="0" xfId="0" applyNumberFormat="1" applyFont="1" applyAlignment="1">
      <alignment/>
    </xf>
    <xf numFmtId="0" fontId="5" fillId="0" borderId="0" xfId="0" applyFont="1" applyFill="1" applyBorder="1" applyAlignment="1">
      <alignment horizontal="center"/>
    </xf>
    <xf numFmtId="173" fontId="0" fillId="0" borderId="0" xfId="0" applyNumberFormat="1" applyAlignment="1">
      <alignment/>
    </xf>
    <xf numFmtId="10" fontId="4" fillId="0" borderId="0" xfId="0" applyNumberFormat="1" applyFont="1" applyAlignment="1">
      <alignment/>
    </xf>
    <xf numFmtId="9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4" fillId="0" borderId="0" xfId="0" applyFont="1" applyAlignment="1">
      <alignment horizontal="right"/>
    </xf>
    <xf numFmtId="0" fontId="0" fillId="0" borderId="10" xfId="0" applyBorder="1" applyAlignment="1">
      <alignment horizontal="center"/>
    </xf>
    <xf numFmtId="0" fontId="0" fillId="0" borderId="0" xfId="0" applyFont="1" applyAlignment="1">
      <alignment/>
    </xf>
    <xf numFmtId="3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9" fontId="4" fillId="0" borderId="0" xfId="0" applyNumberFormat="1" applyFont="1" applyAlignment="1">
      <alignment/>
    </xf>
    <xf numFmtId="37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10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1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4.8515625" style="0" bestFit="1" customWidth="1"/>
    <col min="2" max="3" width="11.140625" style="0" bestFit="1" customWidth="1"/>
    <col min="4" max="6" width="11.140625" style="0" customWidth="1"/>
    <col min="7" max="7" width="11.57421875" style="0" customWidth="1"/>
    <col min="8" max="8" width="11.28125" style="0" customWidth="1"/>
    <col min="9" max="9" width="12.00390625" style="0" customWidth="1"/>
    <col min="10" max="11" width="10.421875" style="0" customWidth="1"/>
    <col min="12" max="12" width="11.140625" style="0" customWidth="1"/>
    <col min="13" max="13" width="12.57421875" style="0" customWidth="1"/>
    <col min="14" max="14" width="12.28125" style="0" hidden="1" customWidth="1"/>
    <col min="15" max="15" width="12.7109375" style="0" customWidth="1"/>
    <col min="16" max="16" width="13.8515625" style="0" hidden="1" customWidth="1"/>
    <col min="17" max="17" width="11.140625" style="0" hidden="1" customWidth="1"/>
    <col min="18" max="18" width="4.7109375" style="0" customWidth="1"/>
    <col min="19" max="20" width="11.140625" style="0" bestFit="1" customWidth="1"/>
    <col min="21" max="21" width="11.28125" style="0" hidden="1" customWidth="1"/>
    <col min="22" max="23" width="11.28125" style="0" bestFit="1" customWidth="1"/>
  </cols>
  <sheetData>
    <row r="1" ht="12.75">
      <c r="W1" s="24" t="s">
        <v>62</v>
      </c>
    </row>
    <row r="2" ht="12.75">
      <c r="W2" s="24" t="s">
        <v>75</v>
      </c>
    </row>
    <row r="3" spans="3:23" ht="12.75">
      <c r="C3" s="32" t="s">
        <v>81</v>
      </c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</row>
    <row r="4" spans="3:23" ht="12.75">
      <c r="C4" s="32" t="s">
        <v>82</v>
      </c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</row>
    <row r="5" spans="2:5" ht="12.75">
      <c r="B5" t="s">
        <v>36</v>
      </c>
      <c r="E5" s="1">
        <v>65082300</v>
      </c>
    </row>
    <row r="6" spans="2:5" ht="13.5" customHeight="1">
      <c r="B6" t="s">
        <v>37</v>
      </c>
      <c r="E6" s="6">
        <v>10625000</v>
      </c>
    </row>
    <row r="7" spans="2:5" ht="13.5" customHeight="1">
      <c r="B7" t="s">
        <v>59</v>
      </c>
      <c r="E7" s="7">
        <f>+E5-E6</f>
        <v>54457300</v>
      </c>
    </row>
    <row r="8" spans="2:5" ht="13.5" customHeight="1">
      <c r="B8" t="s">
        <v>38</v>
      </c>
      <c r="E8" s="8">
        <v>0.1388</v>
      </c>
    </row>
    <row r="9" spans="2:5" ht="12.75">
      <c r="B9" t="s">
        <v>39</v>
      </c>
      <c r="E9" s="1">
        <f>+E7*E8</f>
        <v>7558673.24</v>
      </c>
    </row>
    <row r="10" spans="2:6" ht="12.75">
      <c r="B10" s="5" t="s">
        <v>31</v>
      </c>
      <c r="C10" s="5"/>
      <c r="D10" s="5"/>
      <c r="E10" s="27">
        <v>30</v>
      </c>
      <c r="F10" s="1" t="s">
        <v>71</v>
      </c>
    </row>
    <row r="11" spans="2:6" ht="12.75">
      <c r="B11" t="s">
        <v>35</v>
      </c>
      <c r="C11" s="1"/>
      <c r="D11" s="1"/>
      <c r="E11" s="3">
        <v>0.0175</v>
      </c>
      <c r="F11" s="1" t="s">
        <v>34</v>
      </c>
    </row>
    <row r="12" spans="2:6" ht="12.75">
      <c r="B12" t="s">
        <v>29</v>
      </c>
      <c r="C12" s="1"/>
      <c r="D12" s="1"/>
      <c r="E12" s="3">
        <v>0.02</v>
      </c>
      <c r="F12" s="1"/>
    </row>
    <row r="13" spans="2:6" ht="12.75">
      <c r="B13" t="s">
        <v>30</v>
      </c>
      <c r="C13" s="1"/>
      <c r="D13" s="1"/>
      <c r="E13" s="3">
        <v>0.4053</v>
      </c>
      <c r="F13" s="1"/>
    </row>
    <row r="14" spans="2:6" ht="12.75">
      <c r="B14" s="5" t="s">
        <v>60</v>
      </c>
      <c r="C14" s="28"/>
      <c r="D14" s="28"/>
      <c r="E14" s="29">
        <v>0.1</v>
      </c>
      <c r="F14" s="3"/>
    </row>
    <row r="15" spans="3:23" ht="12.75">
      <c r="C15" s="1"/>
      <c r="D15" s="1"/>
      <c r="E15" s="3"/>
      <c r="F15" s="1"/>
      <c r="M15" s="33" t="s">
        <v>79</v>
      </c>
      <c r="N15" s="33"/>
      <c r="O15" s="33"/>
      <c r="S15" s="33" t="s">
        <v>80</v>
      </c>
      <c r="T15" s="33"/>
      <c r="V15" s="23" t="s">
        <v>74</v>
      </c>
      <c r="W15" s="23" t="s">
        <v>73</v>
      </c>
    </row>
    <row r="16" spans="1:23" ht="12.75">
      <c r="A16" t="s">
        <v>6</v>
      </c>
      <c r="B16" t="s">
        <v>3</v>
      </c>
      <c r="C16" t="s">
        <v>3</v>
      </c>
      <c r="D16" t="s">
        <v>3</v>
      </c>
      <c r="E16" t="s">
        <v>10</v>
      </c>
      <c r="F16" t="s">
        <v>10</v>
      </c>
      <c r="G16" t="s">
        <v>2</v>
      </c>
      <c r="H16" t="s">
        <v>0</v>
      </c>
      <c r="I16" t="s">
        <v>5</v>
      </c>
      <c r="J16" t="s">
        <v>17</v>
      </c>
      <c r="K16" t="s">
        <v>18</v>
      </c>
      <c r="L16" t="s">
        <v>12</v>
      </c>
      <c r="M16" t="s">
        <v>14</v>
      </c>
      <c r="N16" t="s">
        <v>24</v>
      </c>
      <c r="O16" t="s">
        <v>24</v>
      </c>
      <c r="P16" t="s">
        <v>26</v>
      </c>
      <c r="Q16" t="s">
        <v>24</v>
      </c>
      <c r="S16" t="s">
        <v>14</v>
      </c>
      <c r="T16" t="s">
        <v>24</v>
      </c>
      <c r="V16" s="23" t="s">
        <v>72</v>
      </c>
      <c r="W16" s="23" t="s">
        <v>72</v>
      </c>
    </row>
    <row r="17" spans="2:23" ht="12.75">
      <c r="B17" t="s">
        <v>7</v>
      </c>
      <c r="C17" t="s">
        <v>4</v>
      </c>
      <c r="D17" t="s">
        <v>13</v>
      </c>
      <c r="E17" s="1" t="s">
        <v>11</v>
      </c>
      <c r="F17" s="1" t="s">
        <v>9</v>
      </c>
      <c r="G17" s="1" t="s">
        <v>1</v>
      </c>
      <c r="H17" s="1" t="s">
        <v>1</v>
      </c>
      <c r="I17" s="1" t="s">
        <v>2</v>
      </c>
      <c r="J17" s="1" t="s">
        <v>16</v>
      </c>
      <c r="K17" s="1" t="s">
        <v>19</v>
      </c>
      <c r="L17" s="1" t="s">
        <v>2</v>
      </c>
      <c r="M17" s="1" t="s">
        <v>15</v>
      </c>
      <c r="N17" s="1" t="s">
        <v>25</v>
      </c>
      <c r="O17" s="1" t="s">
        <v>15</v>
      </c>
      <c r="P17" s="1" t="s">
        <v>27</v>
      </c>
      <c r="Q17" s="1" t="s">
        <v>28</v>
      </c>
      <c r="S17" s="1" t="s">
        <v>63</v>
      </c>
      <c r="T17" s="1" t="s">
        <v>15</v>
      </c>
      <c r="V17" s="23" t="s">
        <v>63</v>
      </c>
      <c r="W17" s="23" t="s">
        <v>63</v>
      </c>
    </row>
    <row r="18" spans="3:11" ht="12.75">
      <c r="C18" s="1"/>
      <c r="D18" s="1"/>
      <c r="E18" s="1"/>
      <c r="F18" s="1"/>
      <c r="G18" s="1"/>
      <c r="H18" s="1"/>
      <c r="I18" s="1"/>
      <c r="J18" s="1"/>
      <c r="K18" s="1"/>
    </row>
    <row r="19" spans="1:23" ht="12.75">
      <c r="A19">
        <v>1</v>
      </c>
      <c r="B19" s="1">
        <f>E9</f>
        <v>7558673.24</v>
      </c>
      <c r="C19" s="1">
        <f>E$9-H19-I19</f>
        <v>7293952.755899283</v>
      </c>
      <c r="D19" s="1">
        <f>AVERAGE(B19:C19)</f>
        <v>7426312.997949641</v>
      </c>
      <c r="E19" s="1">
        <f>D19*SUM('Cost of Capital'!E$17:E$17)</f>
        <v>241355.17243336336</v>
      </c>
      <c r="F19" s="1">
        <f>D19*'Cost of Capital'!E$16</f>
        <v>371315.6498974821</v>
      </c>
      <c r="G19" s="1">
        <f>B$19*0.0375</f>
        <v>283450.2465</v>
      </c>
      <c r="H19" s="1">
        <f>E$9/E$10</f>
        <v>251955.77466666666</v>
      </c>
      <c r="I19" s="2">
        <f aca="true" t="shared" si="0" ref="I19:I58">(G19-H19)*E$13</f>
        <v>12764.709434050004</v>
      </c>
      <c r="J19" s="1">
        <f>(+F19+H19-G19+I19)/(1-E$13)</f>
        <v>592880.2547472655</v>
      </c>
      <c r="K19" s="1">
        <f>J19*E$13</f>
        <v>240294.3672490667</v>
      </c>
      <c r="L19" s="1">
        <f>(B$19-SUM(H18))*E$11</f>
        <v>132276.78170000002</v>
      </c>
      <c r="M19" s="1">
        <f>SUM(E19:F19,H19,K19:L19)</f>
        <v>1237197.7459465787</v>
      </c>
      <c r="N19">
        <f>1/(1+'Cost of Capital'!E21)</f>
        <v>0.9351669775707214</v>
      </c>
      <c r="O19" s="4">
        <f>M19*N19</f>
        <v>1156986.4767341712</v>
      </c>
      <c r="P19" s="1">
        <f>P60</f>
        <v>6993954</v>
      </c>
      <c r="Q19" s="1">
        <f>P19*N19</f>
        <v>6540514.823448657</v>
      </c>
      <c r="S19" s="1">
        <v>983000</v>
      </c>
      <c r="T19" s="1">
        <f aca="true" t="shared" si="1" ref="T19:T58">+S19*N19</f>
        <v>919269.1389520192</v>
      </c>
      <c r="U19">
        <v>1</v>
      </c>
      <c r="V19" s="30">
        <f aca="true" t="shared" si="2" ref="V19:V58">+S19-M19</f>
        <v>-254197.74594657868</v>
      </c>
      <c r="W19" s="30">
        <f aca="true" t="shared" si="3" ref="W19:W58">+T19-O19</f>
        <v>-237717.337782152</v>
      </c>
    </row>
    <row r="20" spans="1:23" ht="12.75">
      <c r="A20">
        <f>A19+1</f>
        <v>2</v>
      </c>
      <c r="B20" s="1">
        <f>C19</f>
        <v>7293952.755899283</v>
      </c>
      <c r="C20" s="1">
        <f aca="true" t="shared" si="4" ref="C20:C58">C19-H20-I20</f>
        <v>6922927.771631798</v>
      </c>
      <c r="D20" s="1">
        <f aca="true" t="shared" si="5" ref="D20:D58">AVERAGE(B20:C20)</f>
        <v>7108440.26376554</v>
      </c>
      <c r="E20" s="1">
        <f>D20*SUM('Cost of Capital'!E$17:E$17)</f>
        <v>231024.30857238005</v>
      </c>
      <c r="F20" s="1">
        <f>D20*'Cost of Capital'!E$16</f>
        <v>355422.013188277</v>
      </c>
      <c r="G20" s="1">
        <f>B$19*0.0722</f>
        <v>545736.207928</v>
      </c>
      <c r="H20" s="1">
        <f aca="true" t="shared" si="6" ref="H20:H58">E$9/E$10</f>
        <v>251955.77466666666</v>
      </c>
      <c r="I20" s="2">
        <f t="shared" si="0"/>
        <v>119069.20960081842</v>
      </c>
      <c r="J20" s="1">
        <f aca="true" t="shared" si="7" ref="J20:J58">(+F20+H20-G20+I20)/(1-E$13)</f>
        <v>303868.82382337656</v>
      </c>
      <c r="K20" s="1">
        <f aca="true" t="shared" si="8" ref="K20:K58">J20*E$13</f>
        <v>123158.03429561452</v>
      </c>
      <c r="L20" s="1">
        <f>(B$19-SUM(H19))*E$11</f>
        <v>127867.55564333334</v>
      </c>
      <c r="M20" s="1">
        <f aca="true" t="shared" si="9" ref="M20:M58">SUM(E20:F20,H20,K20:L20)</f>
        <v>1089427.6863662715</v>
      </c>
      <c r="N20">
        <f>N19*(1/(1+'Cost of Capital'!E$21))</f>
        <v>0.8745372759387582</v>
      </c>
      <c r="O20" s="4">
        <f aca="true" t="shared" si="10" ref="O20:O58">M20*N20</f>
        <v>952745.1211670229</v>
      </c>
      <c r="P20" s="1">
        <f>P19</f>
        <v>6993954</v>
      </c>
      <c r="Q20" s="1">
        <f aca="true" t="shared" si="11" ref="Q20:Q58">P20*N20</f>
        <v>6116473.479200982</v>
      </c>
      <c r="S20" s="1">
        <v>983000</v>
      </c>
      <c r="T20" s="1">
        <f t="shared" si="1"/>
        <v>859670.1422477993</v>
      </c>
      <c r="U20">
        <f>U19+1</f>
        <v>2</v>
      </c>
      <c r="V20" s="30">
        <f t="shared" si="2"/>
        <v>-106427.68636627146</v>
      </c>
      <c r="W20" s="30">
        <f t="shared" si="3"/>
        <v>-93074.97891922353</v>
      </c>
    </row>
    <row r="21" spans="1:23" ht="12.75">
      <c r="A21">
        <f aca="true" t="shared" si="12" ref="A21:A58">A20+1</f>
        <v>3</v>
      </c>
      <c r="B21" s="1">
        <f aca="true" t="shared" si="13" ref="B21:B58">C20</f>
        <v>6922927.771631798</v>
      </c>
      <c r="C21" s="1">
        <f t="shared" si="4"/>
        <v>6568445.8507908415</v>
      </c>
      <c r="D21" s="1">
        <f t="shared" si="5"/>
        <v>6745686.81121132</v>
      </c>
      <c r="E21" s="1">
        <f>D21*SUM('Cost of Capital'!E$17:E$17)</f>
        <v>219234.8213643679</v>
      </c>
      <c r="F21" s="1">
        <f>D21*'Cost of Capital'!E$16</f>
        <v>337284.340560566</v>
      </c>
      <c r="G21" s="1">
        <f>B$19*0.0668</f>
        <v>504919.372432</v>
      </c>
      <c r="H21" s="1">
        <f t="shared" si="6"/>
        <v>251955.77466666666</v>
      </c>
      <c r="I21" s="2">
        <f t="shared" si="0"/>
        <v>102526.1461742896</v>
      </c>
      <c r="J21" s="1">
        <f t="shared" si="7"/>
        <v>314186.79833449185</v>
      </c>
      <c r="K21" s="1">
        <f t="shared" si="8"/>
        <v>127339.90936496954</v>
      </c>
      <c r="L21" s="1">
        <f>(B$19-SUM(H$19:H20))*E$11</f>
        <v>123458.32958666669</v>
      </c>
      <c r="M21" s="1">
        <f t="shared" si="9"/>
        <v>1059273.1755432368</v>
      </c>
      <c r="N21">
        <f>N20*(1/(1+'Cost of Capital'!E$21))</f>
        <v>0.8178383811125804</v>
      </c>
      <c r="O21" s="4">
        <f t="shared" si="10"/>
        <v>866314.259042263</v>
      </c>
      <c r="P21" s="1">
        <f aca="true" t="shared" si="14" ref="P21:P58">P20</f>
        <v>6993954</v>
      </c>
      <c r="Q21" s="1">
        <f t="shared" si="11"/>
        <v>5719924.016935856</v>
      </c>
      <c r="S21" s="1">
        <v>995000</v>
      </c>
      <c r="T21" s="1">
        <f t="shared" si="1"/>
        <v>813749.1892070175</v>
      </c>
      <c r="U21">
        <f aca="true" t="shared" si="15" ref="U21:U58">U20+1</f>
        <v>3</v>
      </c>
      <c r="V21" s="30">
        <f t="shared" si="2"/>
        <v>-64273.17554323678</v>
      </c>
      <c r="W21" s="30">
        <f t="shared" si="3"/>
        <v>-52565.06983524549</v>
      </c>
    </row>
    <row r="22" spans="1:23" ht="12.75">
      <c r="A22">
        <f t="shared" si="12"/>
        <v>4</v>
      </c>
      <c r="B22" s="1">
        <f t="shared" si="13"/>
        <v>6568445.8507908415</v>
      </c>
      <c r="C22" s="1">
        <f t="shared" si="4"/>
        <v>6229281.581270745</v>
      </c>
      <c r="D22" s="1">
        <f t="shared" si="5"/>
        <v>6398863.716030793</v>
      </c>
      <c r="E22" s="1">
        <f>D22*SUM('Cost of Capital'!E$17:E$17)</f>
        <v>207963.07077100078</v>
      </c>
      <c r="F22" s="1">
        <f>D22*'Cost of Capital'!E$16</f>
        <v>319943.1858015397</v>
      </c>
      <c r="G22" s="1">
        <f>B$19*0.0618</f>
        <v>467126.006232</v>
      </c>
      <c r="H22" s="1">
        <f t="shared" si="6"/>
        <v>251955.77466666666</v>
      </c>
      <c r="I22" s="2">
        <f t="shared" si="0"/>
        <v>87208.4948534296</v>
      </c>
      <c r="J22" s="1">
        <f t="shared" si="7"/>
        <v>322820.6643511618</v>
      </c>
      <c r="K22" s="1">
        <f t="shared" si="8"/>
        <v>130839.21526152588</v>
      </c>
      <c r="L22" s="1">
        <f>(B$19-SUM(H$19:H21))*E$11</f>
        <v>119049.10353000001</v>
      </c>
      <c r="M22" s="1">
        <f t="shared" si="9"/>
        <v>1029750.350030733</v>
      </c>
      <c r="N22">
        <f>N21*(1/(1+'Cost of Capital'!E$21))</f>
        <v>0.7648154470063836</v>
      </c>
      <c r="O22" s="4">
        <f t="shared" si="10"/>
        <v>787568.9742637351</v>
      </c>
      <c r="P22" s="1">
        <f t="shared" si="14"/>
        <v>6993954</v>
      </c>
      <c r="Q22" s="1">
        <f t="shared" si="11"/>
        <v>5349084.054852084</v>
      </c>
      <c r="S22" s="1">
        <v>1006000</v>
      </c>
      <c r="T22" s="1">
        <f t="shared" si="1"/>
        <v>769404.3396884219</v>
      </c>
      <c r="U22">
        <f t="shared" si="15"/>
        <v>4</v>
      </c>
      <c r="V22" s="30">
        <f t="shared" si="2"/>
        <v>-23750.35003073304</v>
      </c>
      <c r="W22" s="30">
        <f t="shared" si="3"/>
        <v>-18164.63457531319</v>
      </c>
    </row>
    <row r="23" spans="1:23" ht="12.75">
      <c r="A23">
        <f t="shared" si="12"/>
        <v>5</v>
      </c>
      <c r="B23" s="1">
        <f t="shared" si="13"/>
        <v>6229281.581270745</v>
      </c>
      <c r="C23" s="1">
        <f t="shared" si="4"/>
        <v>5904515.903992257</v>
      </c>
      <c r="D23" s="1">
        <f t="shared" si="5"/>
        <v>6066898.742631501</v>
      </c>
      <c r="E23" s="1">
        <f>D23*SUM('Cost of Capital'!E$17:E$17)</f>
        <v>197174.20913552376</v>
      </c>
      <c r="F23" s="1">
        <f>D23*'Cost of Capital'!E$16</f>
        <v>303344.937131575</v>
      </c>
      <c r="G23" s="1">
        <f>B$19*0.0571</f>
        <v>431600.242004</v>
      </c>
      <c r="H23" s="1">
        <f t="shared" si="6"/>
        <v>251955.77466666666</v>
      </c>
      <c r="I23" s="2">
        <f t="shared" si="0"/>
        <v>72809.9026118212</v>
      </c>
      <c r="J23" s="1">
        <f t="shared" si="7"/>
        <v>330436.13991266675</v>
      </c>
      <c r="K23" s="1">
        <f t="shared" si="8"/>
        <v>133925.76750660382</v>
      </c>
      <c r="L23" s="1">
        <f>(B$19-SUM(H$19:H22))*E$11</f>
        <v>114639.87747333334</v>
      </c>
      <c r="M23" s="1">
        <f t="shared" si="9"/>
        <v>1001040.5659137027</v>
      </c>
      <c r="N23">
        <f>N22*(1/(1+'Cost of Capital'!E$21))</f>
        <v>0.71523014997636</v>
      </c>
      <c r="O23" s="4">
        <f t="shared" si="10"/>
        <v>715974.394090878</v>
      </c>
      <c r="P23" s="1">
        <f t="shared" si="14"/>
        <v>6993954</v>
      </c>
      <c r="Q23" s="1">
        <f t="shared" si="11"/>
        <v>5002286.768347763</v>
      </c>
      <c r="S23" s="1">
        <v>1022000</v>
      </c>
      <c r="T23" s="1">
        <f t="shared" si="1"/>
        <v>730965.2132758399</v>
      </c>
      <c r="U23">
        <f t="shared" si="15"/>
        <v>5</v>
      </c>
      <c r="V23" s="30">
        <f t="shared" si="2"/>
        <v>20959.43408629729</v>
      </c>
      <c r="W23" s="30">
        <f t="shared" si="3"/>
        <v>14990.819184961962</v>
      </c>
    </row>
    <row r="24" spans="1:23" ht="12.75">
      <c r="A24">
        <f t="shared" si="12"/>
        <v>6</v>
      </c>
      <c r="B24" s="1">
        <f t="shared" si="13"/>
        <v>5904515.903992257</v>
      </c>
      <c r="C24" s="1">
        <f t="shared" si="4"/>
        <v>5592923.406849708</v>
      </c>
      <c r="D24" s="1">
        <f t="shared" si="5"/>
        <v>5748719.655420983</v>
      </c>
      <c r="E24" s="1">
        <f>D24*SUM('Cost of Capital'!E$17:E$17)</f>
        <v>186833.38880118195</v>
      </c>
      <c r="F24" s="1">
        <f>D24*'Cost of Capital'!E$16</f>
        <v>287435.9827710492</v>
      </c>
      <c r="G24" s="1">
        <f>B$19*0.0528</f>
        <v>399097.947072</v>
      </c>
      <c r="H24" s="1">
        <f t="shared" si="6"/>
        <v>251955.77466666666</v>
      </c>
      <c r="I24" s="2">
        <f t="shared" si="0"/>
        <v>59636.7224758816</v>
      </c>
      <c r="J24" s="1">
        <f t="shared" si="7"/>
        <v>336187.20841028664</v>
      </c>
      <c r="K24" s="1">
        <f t="shared" si="8"/>
        <v>136256.67556868918</v>
      </c>
      <c r="L24" s="1">
        <f>(B$19-SUM(H$19:H23))*E$11</f>
        <v>110230.65141666669</v>
      </c>
      <c r="M24" s="1">
        <f t="shared" si="9"/>
        <v>972712.4732242537</v>
      </c>
      <c r="N24">
        <f>N23*(1/(1+'Cost of Capital'!E$21))</f>
        <v>0.6688596176208464</v>
      </c>
      <c r="O24" s="4">
        <f t="shared" si="10"/>
        <v>650608.0928958022</v>
      </c>
      <c r="P24" s="1">
        <f t="shared" si="14"/>
        <v>6993954</v>
      </c>
      <c r="Q24" s="1">
        <f t="shared" si="11"/>
        <v>4677973.39809779</v>
      </c>
      <c r="S24" s="1">
        <v>1045000</v>
      </c>
      <c r="T24" s="1">
        <f t="shared" si="1"/>
        <v>698958.3004137846</v>
      </c>
      <c r="U24">
        <f t="shared" si="15"/>
        <v>6</v>
      </c>
      <c r="V24" s="30">
        <f t="shared" si="2"/>
        <v>72287.52677574626</v>
      </c>
      <c r="W24" s="30">
        <f t="shared" si="3"/>
        <v>48350.207517982344</v>
      </c>
    </row>
    <row r="25" spans="1:23" ht="12.75">
      <c r="A25">
        <f t="shared" si="12"/>
        <v>7</v>
      </c>
      <c r="B25" s="1">
        <f t="shared" si="13"/>
        <v>5592923.406849708</v>
      </c>
      <c r="C25" s="1">
        <f t="shared" si="4"/>
        <v>5293278.677737431</v>
      </c>
      <c r="D25" s="1">
        <f t="shared" si="5"/>
        <v>5443101.042293569</v>
      </c>
      <c r="E25" s="1">
        <f>D25*SUM('Cost of Capital'!E$17:E$17)</f>
        <v>176900.783874541</v>
      </c>
      <c r="F25" s="1">
        <f>D25*'Cost of Capital'!E$16</f>
        <v>272155.0521146785</v>
      </c>
      <c r="G25" s="1">
        <f>B$19*0.0489</f>
        <v>369619.121436</v>
      </c>
      <c r="H25" s="1">
        <f t="shared" si="6"/>
        <v>251955.77466666666</v>
      </c>
      <c r="I25" s="2">
        <f t="shared" si="0"/>
        <v>47688.9544456108</v>
      </c>
      <c r="J25" s="1">
        <f t="shared" si="7"/>
        <v>339970.8420900555</v>
      </c>
      <c r="K25" s="1">
        <f t="shared" si="8"/>
        <v>137790.1822990995</v>
      </c>
      <c r="L25" s="1">
        <f>(B$19-SUM(H$19:H24))*E$11</f>
        <v>105821.42536000001</v>
      </c>
      <c r="M25" s="1">
        <f t="shared" si="9"/>
        <v>944623.2183149856</v>
      </c>
      <c r="N25">
        <f>N24*(1/(1+'Cost of Capital'!E$21))</f>
        <v>0.6254954270295954</v>
      </c>
      <c r="O25" s="4">
        <f t="shared" si="10"/>
        <v>590857.5033220026</v>
      </c>
      <c r="P25" s="1">
        <f t="shared" si="14"/>
        <v>6993954</v>
      </c>
      <c r="Q25" s="1">
        <f t="shared" si="11"/>
        <v>4374686.243855347</v>
      </c>
      <c r="S25" s="1">
        <v>1107000</v>
      </c>
      <c r="T25" s="1">
        <f t="shared" si="1"/>
        <v>692423.4377217621</v>
      </c>
      <c r="U25">
        <f t="shared" si="15"/>
        <v>7</v>
      </c>
      <c r="V25" s="30">
        <f t="shared" si="2"/>
        <v>162376.78168501437</v>
      </c>
      <c r="W25" s="30">
        <f t="shared" si="3"/>
        <v>101565.93439975951</v>
      </c>
    </row>
    <row r="26" spans="1:23" ht="12.75">
      <c r="A26">
        <f t="shared" si="12"/>
        <v>8</v>
      </c>
      <c r="B26" s="1">
        <f t="shared" si="13"/>
        <v>5293278.677737431</v>
      </c>
      <c r="C26" s="1">
        <f t="shared" si="4"/>
        <v>5004969.01060259</v>
      </c>
      <c r="D26" s="1">
        <f t="shared" si="5"/>
        <v>5149123.84417001</v>
      </c>
      <c r="E26" s="1">
        <f>D26*SUM('Cost of Capital'!E$17:E$17)</f>
        <v>167346.52493552532</v>
      </c>
      <c r="F26" s="1">
        <f>D26*'Cost of Capital'!E$16</f>
        <v>257456.1922085005</v>
      </c>
      <c r="G26" s="1">
        <f>B$19*0.0452</f>
        <v>341652.030448</v>
      </c>
      <c r="H26" s="1">
        <f t="shared" si="6"/>
        <v>251955.77466666666</v>
      </c>
      <c r="I26" s="2">
        <f t="shared" si="0"/>
        <v>36353.8924681744</v>
      </c>
      <c r="J26" s="1">
        <f t="shared" si="7"/>
        <v>343221.504784499</v>
      </c>
      <c r="K26" s="1">
        <f t="shared" si="8"/>
        <v>139107.67588915746</v>
      </c>
      <c r="L26" s="1">
        <f>(B$19-SUM(H$19:H25))*E$11</f>
        <v>101412.19930333334</v>
      </c>
      <c r="M26" s="1">
        <f t="shared" si="9"/>
        <v>917278.3670031832</v>
      </c>
      <c r="N26">
        <f>N25*(1/(1+'Cost of Capital'!E$21))</f>
        <v>0.5849426679795744</v>
      </c>
      <c r="O26" s="4">
        <f t="shared" si="10"/>
        <v>536555.2552747892</v>
      </c>
      <c r="P26" s="1">
        <f t="shared" si="14"/>
        <v>6993954</v>
      </c>
      <c r="Q26" s="1">
        <f t="shared" si="11"/>
        <v>4091062.1124864165</v>
      </c>
      <c r="S26" s="1">
        <v>1169000</v>
      </c>
      <c r="T26" s="1">
        <f t="shared" si="1"/>
        <v>683797.9788681224</v>
      </c>
      <c r="U26">
        <f t="shared" si="15"/>
        <v>8</v>
      </c>
      <c r="V26" s="30">
        <f t="shared" si="2"/>
        <v>251721.63299681677</v>
      </c>
      <c r="W26" s="30">
        <f t="shared" si="3"/>
        <v>147242.72359333327</v>
      </c>
    </row>
    <row r="27" spans="1:23" ht="12.75">
      <c r="A27">
        <f t="shared" si="12"/>
        <v>9</v>
      </c>
      <c r="B27" s="1">
        <f t="shared" si="13"/>
        <v>5004969.01060259</v>
      </c>
      <c r="C27" s="1">
        <f t="shared" si="4"/>
        <v>4718497.461626251</v>
      </c>
      <c r="D27" s="1">
        <f t="shared" si="5"/>
        <v>4861733.23611442</v>
      </c>
      <c r="E27" s="1">
        <f>D27*SUM('Cost of Capital'!E$17:E$17)</f>
        <v>158006.33017371866</v>
      </c>
      <c r="F27" s="1">
        <f>D27*'Cost of Capital'!E$16</f>
        <v>243086.661805721</v>
      </c>
      <c r="G27" s="1">
        <f>B$19*0.0446</f>
        <v>337116.826504</v>
      </c>
      <c r="H27" s="1">
        <f t="shared" si="6"/>
        <v>251955.77466666666</v>
      </c>
      <c r="I27" s="2">
        <f t="shared" si="0"/>
        <v>34515.7743096712</v>
      </c>
      <c r="J27" s="1">
        <f t="shared" si="7"/>
        <v>323594.05461250857</v>
      </c>
      <c r="K27" s="1">
        <f t="shared" si="8"/>
        <v>131152.6703344497</v>
      </c>
      <c r="L27" s="1">
        <f>(B$19-SUM(H$19:H26))*E$11</f>
        <v>97002.97324666666</v>
      </c>
      <c r="M27" s="1">
        <f t="shared" si="9"/>
        <v>881204.4102272226</v>
      </c>
      <c r="N27">
        <f>N26*(1/(1+'Cost of Capital'!E$21))</f>
        <v>0.5470190668666126</v>
      </c>
      <c r="O27" s="4">
        <f t="shared" si="10"/>
        <v>482035.614201239</v>
      </c>
      <c r="P27" s="1">
        <f t="shared" si="14"/>
        <v>6993954</v>
      </c>
      <c r="Q27" s="1">
        <f t="shared" si="11"/>
        <v>3825826.190788013</v>
      </c>
      <c r="S27" s="1">
        <v>1215000</v>
      </c>
      <c r="T27" s="1">
        <f t="shared" si="1"/>
        <v>664628.1662429343</v>
      </c>
      <c r="U27">
        <f t="shared" si="15"/>
        <v>9</v>
      </c>
      <c r="V27" s="30">
        <f t="shared" si="2"/>
        <v>333795.5897727774</v>
      </c>
      <c r="W27" s="30">
        <f t="shared" si="3"/>
        <v>182592.55204169528</v>
      </c>
    </row>
    <row r="28" spans="1:23" ht="12.75">
      <c r="A28">
        <f t="shared" si="12"/>
        <v>10</v>
      </c>
      <c r="B28" s="1">
        <f t="shared" si="13"/>
        <v>4718497.461626251</v>
      </c>
      <c r="C28" s="1">
        <f t="shared" si="4"/>
        <v>4432025.912649913</v>
      </c>
      <c r="D28" s="1">
        <f t="shared" si="5"/>
        <v>4575261.687138082</v>
      </c>
      <c r="E28" s="1">
        <f>D28*SUM('Cost of Capital'!E$17:E$17)</f>
        <v>148696.0048319877</v>
      </c>
      <c r="F28" s="1">
        <f>D28*'Cost of Capital'!E$16</f>
        <v>228763.08435690415</v>
      </c>
      <c r="G28" s="1">
        <f aca="true" t="shared" si="16" ref="G28:G38">B$19*0.0446</f>
        <v>337116.826504</v>
      </c>
      <c r="H28" s="1">
        <f t="shared" si="6"/>
        <v>251955.77466666666</v>
      </c>
      <c r="I28" s="2">
        <f t="shared" si="0"/>
        <v>34515.7743096712</v>
      </c>
      <c r="J28" s="1">
        <f t="shared" si="7"/>
        <v>299508.67131199257</v>
      </c>
      <c r="K28" s="1">
        <f t="shared" si="8"/>
        <v>121390.86448275059</v>
      </c>
      <c r="L28" s="1">
        <f>(B$19-SUM(H$19:H27))*E$11</f>
        <v>92593.74719000001</v>
      </c>
      <c r="M28" s="1">
        <f t="shared" si="9"/>
        <v>843399.4755283091</v>
      </c>
      <c r="N28">
        <f>N27*(1/(1+'Cost of Capital'!E$21))</f>
        <v>0.5115541674352064</v>
      </c>
      <c r="O28" s="4">
        <f t="shared" si="10"/>
        <v>431444.5165191739</v>
      </c>
      <c r="P28" s="1">
        <f t="shared" si="14"/>
        <v>6993954</v>
      </c>
      <c r="Q28" s="1">
        <f t="shared" si="11"/>
        <v>3577786.3155501317</v>
      </c>
      <c r="S28" s="1">
        <v>1215000</v>
      </c>
      <c r="T28" s="1">
        <f t="shared" si="1"/>
        <v>621538.3134337758</v>
      </c>
      <c r="U28">
        <f t="shared" si="15"/>
        <v>10</v>
      </c>
      <c r="V28" s="30">
        <f t="shared" si="2"/>
        <v>371600.5244716909</v>
      </c>
      <c r="W28" s="30">
        <f t="shared" si="3"/>
        <v>190093.79691460187</v>
      </c>
    </row>
    <row r="29" spans="1:23" ht="12.75">
      <c r="A29">
        <f t="shared" si="12"/>
        <v>11</v>
      </c>
      <c r="B29" s="1">
        <f t="shared" si="13"/>
        <v>4432025.912649913</v>
      </c>
      <c r="C29" s="1">
        <f t="shared" si="4"/>
        <v>4145554.363673575</v>
      </c>
      <c r="D29" s="1">
        <f t="shared" si="5"/>
        <v>4288790.138161744</v>
      </c>
      <c r="E29" s="1">
        <f>D29*SUM('Cost of Capital'!E$17:E$17)</f>
        <v>139385.67949025668</v>
      </c>
      <c r="F29" s="1">
        <f>D29*'Cost of Capital'!E$16</f>
        <v>214439.5069080872</v>
      </c>
      <c r="G29" s="1">
        <f t="shared" si="16"/>
        <v>337116.826504</v>
      </c>
      <c r="H29" s="1">
        <f t="shared" si="6"/>
        <v>251955.77466666666</v>
      </c>
      <c r="I29" s="2">
        <f t="shared" si="0"/>
        <v>34515.7743096712</v>
      </c>
      <c r="J29" s="1">
        <f t="shared" si="7"/>
        <v>275423.28801147646</v>
      </c>
      <c r="K29" s="1">
        <f t="shared" si="8"/>
        <v>111629.0586310514</v>
      </c>
      <c r="L29" s="1">
        <f>(B$19-SUM(H$19:H28))*E$11</f>
        <v>88184.52113333336</v>
      </c>
      <c r="M29" s="1">
        <f t="shared" si="9"/>
        <v>805594.5408293953</v>
      </c>
      <c r="N29">
        <f>N28*(1/(1+'Cost of Capital'!E$21))</f>
        <v>0.47838856462408874</v>
      </c>
      <c r="O29" s="4">
        <f t="shared" si="10"/>
        <v>385387.2160563763</v>
      </c>
      <c r="P29" s="1">
        <f t="shared" si="14"/>
        <v>6993954</v>
      </c>
      <c r="Q29" s="1">
        <f t="shared" si="11"/>
        <v>3345827.615106904</v>
      </c>
      <c r="S29" s="1">
        <v>1215000</v>
      </c>
      <c r="T29" s="1">
        <f t="shared" si="1"/>
        <v>581242.1060182678</v>
      </c>
      <c r="U29">
        <f t="shared" si="15"/>
        <v>11</v>
      </c>
      <c r="V29" s="30">
        <f t="shared" si="2"/>
        <v>409405.4591706047</v>
      </c>
      <c r="W29" s="30">
        <f t="shared" si="3"/>
        <v>195854.88996189152</v>
      </c>
    </row>
    <row r="30" spans="1:23" ht="12.75">
      <c r="A30">
        <f t="shared" si="12"/>
        <v>12</v>
      </c>
      <c r="B30" s="1">
        <f t="shared" si="13"/>
        <v>4145554.363673575</v>
      </c>
      <c r="C30" s="1">
        <f t="shared" si="4"/>
        <v>3859082.8146972377</v>
      </c>
      <c r="D30" s="1">
        <f t="shared" si="5"/>
        <v>4002318.5891854065</v>
      </c>
      <c r="E30" s="1">
        <f>D30*SUM('Cost of Capital'!E$17:E$17)</f>
        <v>130075.35414852572</v>
      </c>
      <c r="F30" s="1">
        <f>D30*'Cost of Capital'!E$16</f>
        <v>200115.92945927032</v>
      </c>
      <c r="G30" s="1">
        <f t="shared" si="16"/>
        <v>337116.826504</v>
      </c>
      <c r="H30" s="1">
        <f t="shared" si="6"/>
        <v>251955.77466666666</v>
      </c>
      <c r="I30" s="2">
        <f t="shared" si="0"/>
        <v>34515.7743096712</v>
      </c>
      <c r="J30" s="1">
        <f t="shared" si="7"/>
        <v>251337.9047109604</v>
      </c>
      <c r="K30" s="1">
        <f t="shared" si="8"/>
        <v>101867.25277935225</v>
      </c>
      <c r="L30" s="1">
        <f>(B$19-SUM(H$19:H29))*E$11</f>
        <v>83775.29507666668</v>
      </c>
      <c r="M30" s="1">
        <f t="shared" si="9"/>
        <v>767789.6061304816</v>
      </c>
      <c r="N30">
        <f>N29*(1/(1+'Cost of Capital'!E$21))</f>
        <v>0.4473731880839048</v>
      </c>
      <c r="O30" s="4">
        <f t="shared" si="10"/>
        <v>343488.4838722791</v>
      </c>
      <c r="P30" s="1">
        <f t="shared" si="14"/>
        <v>6993954</v>
      </c>
      <c r="Q30" s="1">
        <f t="shared" si="11"/>
        <v>3128907.4982921784</v>
      </c>
      <c r="S30" s="1">
        <v>1215000</v>
      </c>
      <c r="T30" s="1">
        <f t="shared" si="1"/>
        <v>543558.4235219443</v>
      </c>
      <c r="U30">
        <f t="shared" si="15"/>
        <v>12</v>
      </c>
      <c r="V30" s="30">
        <f t="shared" si="2"/>
        <v>447210.3938695184</v>
      </c>
      <c r="W30" s="30">
        <f t="shared" si="3"/>
        <v>200069.9396496652</v>
      </c>
    </row>
    <row r="31" spans="1:23" ht="12.75">
      <c r="A31">
        <f t="shared" si="12"/>
        <v>13</v>
      </c>
      <c r="B31" s="1">
        <f t="shared" si="13"/>
        <v>3859082.8146972377</v>
      </c>
      <c r="C31" s="1">
        <f t="shared" si="4"/>
        <v>3572611.2657209</v>
      </c>
      <c r="D31" s="1">
        <f t="shared" si="5"/>
        <v>3715847.040209069</v>
      </c>
      <c r="E31" s="1">
        <f>D31*SUM('Cost of Capital'!E$17:E$17)</f>
        <v>120765.02880679474</v>
      </c>
      <c r="F31" s="1">
        <f>D31*'Cost of Capital'!E$16</f>
        <v>185792.35201045347</v>
      </c>
      <c r="G31" s="1">
        <f t="shared" si="16"/>
        <v>337116.826504</v>
      </c>
      <c r="H31" s="1">
        <f t="shared" si="6"/>
        <v>251955.77466666666</v>
      </c>
      <c r="I31" s="2">
        <f t="shared" si="0"/>
        <v>34515.7743096712</v>
      </c>
      <c r="J31" s="1">
        <f t="shared" si="7"/>
        <v>227252.52141044443</v>
      </c>
      <c r="K31" s="1">
        <f t="shared" si="8"/>
        <v>92105.44692765313</v>
      </c>
      <c r="L31" s="1">
        <f>(B$19-SUM(H$19:H30))*E$11</f>
        <v>79366.06902000001</v>
      </c>
      <c r="M31" s="1">
        <f t="shared" si="9"/>
        <v>729984.6714315681</v>
      </c>
      <c r="N31">
        <f>N30*(1/(1+'Cost of Capital'!E$21))</f>
        <v>0.41836863214660314</v>
      </c>
      <c r="O31" s="4">
        <f t="shared" si="10"/>
        <v>305402.68847481266</v>
      </c>
      <c r="P31" s="1">
        <f t="shared" si="14"/>
        <v>6993954</v>
      </c>
      <c r="Q31" s="1">
        <f t="shared" si="11"/>
        <v>2926050.9682762637</v>
      </c>
      <c r="S31" s="1">
        <v>1215000</v>
      </c>
      <c r="T31" s="1">
        <f t="shared" si="1"/>
        <v>508317.88805812283</v>
      </c>
      <c r="U31">
        <f t="shared" si="15"/>
        <v>13</v>
      </c>
      <c r="V31" s="30">
        <f t="shared" si="2"/>
        <v>485015.3285684319</v>
      </c>
      <c r="W31" s="30">
        <f t="shared" si="3"/>
        <v>202915.19958331017</v>
      </c>
    </row>
    <row r="32" spans="1:23" ht="12.75">
      <c r="A32">
        <f t="shared" si="12"/>
        <v>14</v>
      </c>
      <c r="B32" s="1">
        <f t="shared" si="13"/>
        <v>3572611.2657209</v>
      </c>
      <c r="C32" s="1">
        <f t="shared" si="4"/>
        <v>3286139.7167445626</v>
      </c>
      <c r="D32" s="1">
        <f t="shared" si="5"/>
        <v>3429375.4912327314</v>
      </c>
      <c r="E32" s="1">
        <f>D32*SUM('Cost of Capital'!E$17:E$17)</f>
        <v>111454.70346506378</v>
      </c>
      <c r="F32" s="1">
        <f>D32*'Cost of Capital'!E$16</f>
        <v>171468.7745616366</v>
      </c>
      <c r="G32" s="1">
        <f t="shared" si="16"/>
        <v>337116.826504</v>
      </c>
      <c r="H32" s="1">
        <f t="shared" si="6"/>
        <v>251955.77466666666</v>
      </c>
      <c r="I32" s="2">
        <f t="shared" si="0"/>
        <v>34515.7743096712</v>
      </c>
      <c r="J32" s="1">
        <f t="shared" si="7"/>
        <v>203167.13810992843</v>
      </c>
      <c r="K32" s="1">
        <f t="shared" si="8"/>
        <v>82343.64107595399</v>
      </c>
      <c r="L32" s="1">
        <f>(B$19-SUM(H$19:H31))*E$11</f>
        <v>74956.84296333336</v>
      </c>
      <c r="M32" s="1">
        <f t="shared" si="9"/>
        <v>692179.7367326544</v>
      </c>
      <c r="N32">
        <f>N31*(1/(1+'Cost of Capital'!E$21))</f>
        <v>0.3912445292349358</v>
      </c>
      <c r="O32" s="4">
        <f t="shared" si="10"/>
        <v>270811.5352439292</v>
      </c>
      <c r="P32" s="1">
        <f t="shared" si="14"/>
        <v>6993954</v>
      </c>
      <c r="Q32" s="1">
        <f t="shared" si="11"/>
        <v>2736346.2402207963</v>
      </c>
      <c r="S32" s="1">
        <v>1215000</v>
      </c>
      <c r="T32" s="1">
        <f t="shared" si="1"/>
        <v>475362.103020447</v>
      </c>
      <c r="U32">
        <f t="shared" si="15"/>
        <v>14</v>
      </c>
      <c r="V32" s="30">
        <f t="shared" si="2"/>
        <v>522820.2632673456</v>
      </c>
      <c r="W32" s="30">
        <f t="shared" si="3"/>
        <v>204550.56777651783</v>
      </c>
    </row>
    <row r="33" spans="1:23" ht="12.75">
      <c r="A33">
        <f t="shared" si="12"/>
        <v>15</v>
      </c>
      <c r="B33" s="1">
        <f t="shared" si="13"/>
        <v>3286139.7167445626</v>
      </c>
      <c r="C33" s="1">
        <f t="shared" si="4"/>
        <v>2999668.167768225</v>
      </c>
      <c r="D33" s="1">
        <f t="shared" si="5"/>
        <v>3142903.942256394</v>
      </c>
      <c r="E33" s="1">
        <f>D33*SUM('Cost of Capital'!E$17:E$17)</f>
        <v>102144.3781233328</v>
      </c>
      <c r="F33" s="1">
        <f>D33*'Cost of Capital'!E$16</f>
        <v>157145.1971128197</v>
      </c>
      <c r="G33" s="1">
        <f t="shared" si="16"/>
        <v>337116.826504</v>
      </c>
      <c r="H33" s="1">
        <f t="shared" si="6"/>
        <v>251955.77466666666</v>
      </c>
      <c r="I33" s="2">
        <f t="shared" si="0"/>
        <v>34515.7743096712</v>
      </c>
      <c r="J33" s="1">
        <f t="shared" si="7"/>
        <v>179081.75480941246</v>
      </c>
      <c r="K33" s="1">
        <f t="shared" si="8"/>
        <v>72581.83522425487</v>
      </c>
      <c r="L33" s="1">
        <f>(B$19-SUM(H$19:H32))*E$11</f>
        <v>70547.61690666669</v>
      </c>
      <c r="M33" s="1">
        <f t="shared" si="9"/>
        <v>654374.8020337407</v>
      </c>
      <c r="N33">
        <f>N32*(1/(1+'Cost of Capital'!E$21))</f>
        <v>0.36587896389571467</v>
      </c>
      <c r="O33" s="4">
        <f t="shared" si="10"/>
        <v>239421.97456756845</v>
      </c>
      <c r="P33" s="1">
        <f t="shared" si="14"/>
        <v>6993954</v>
      </c>
      <c r="Q33" s="1">
        <f t="shared" si="11"/>
        <v>2558940.6430542893</v>
      </c>
      <c r="S33" s="1">
        <v>1215000</v>
      </c>
      <c r="T33" s="1">
        <f t="shared" si="1"/>
        <v>444542.9411332933</v>
      </c>
      <c r="U33">
        <f t="shared" si="15"/>
        <v>15</v>
      </c>
      <c r="V33" s="30">
        <f t="shared" si="2"/>
        <v>560625.1979662593</v>
      </c>
      <c r="W33" s="30">
        <f t="shared" si="3"/>
        <v>205120.96656572487</v>
      </c>
    </row>
    <row r="34" spans="1:23" ht="12.75">
      <c r="A34">
        <f t="shared" si="12"/>
        <v>16</v>
      </c>
      <c r="B34" s="1">
        <f t="shared" si="13"/>
        <v>2999668.167768225</v>
      </c>
      <c r="C34" s="1">
        <f t="shared" si="4"/>
        <v>2713196.6187918875</v>
      </c>
      <c r="D34" s="1">
        <f t="shared" si="5"/>
        <v>2856432.3932800563</v>
      </c>
      <c r="E34" s="1">
        <f>D34*SUM('Cost of Capital'!E$17:E$17)</f>
        <v>92834.05278160183</v>
      </c>
      <c r="F34" s="1">
        <f>D34*'Cost of Capital'!E$16</f>
        <v>142821.61966400282</v>
      </c>
      <c r="G34" s="1">
        <f t="shared" si="16"/>
        <v>337116.826504</v>
      </c>
      <c r="H34" s="1">
        <f t="shared" si="6"/>
        <v>251955.77466666666</v>
      </c>
      <c r="I34" s="2">
        <f t="shared" si="0"/>
        <v>34515.7743096712</v>
      </c>
      <c r="J34" s="1">
        <f t="shared" si="7"/>
        <v>154996.37150889638</v>
      </c>
      <c r="K34" s="1">
        <f t="shared" si="8"/>
        <v>62820.0293725557</v>
      </c>
      <c r="L34" s="1">
        <f>(B$19-SUM(H$19:H33))*E$11</f>
        <v>66138.39085000003</v>
      </c>
      <c r="M34" s="1">
        <f t="shared" si="9"/>
        <v>616569.8673348271</v>
      </c>
      <c r="N34">
        <f>N33*(1/(1+'Cost of Capital'!E$21))</f>
        <v>0.3421579248230626</v>
      </c>
      <c r="O34" s="4">
        <f t="shared" si="10"/>
        <v>210964.26631571545</v>
      </c>
      <c r="P34" s="1">
        <f t="shared" si="14"/>
        <v>6993954</v>
      </c>
      <c r="Q34" s="1">
        <f t="shared" si="11"/>
        <v>2393036.786947958</v>
      </c>
      <c r="S34" s="1">
        <v>248000</v>
      </c>
      <c r="T34" s="1">
        <f t="shared" si="1"/>
        <v>84855.16535611953</v>
      </c>
      <c r="U34">
        <f t="shared" si="15"/>
        <v>16</v>
      </c>
      <c r="V34" s="30">
        <f t="shared" si="2"/>
        <v>-368569.8673348271</v>
      </c>
      <c r="W34" s="30">
        <f t="shared" si="3"/>
        <v>-126109.10095959592</v>
      </c>
    </row>
    <row r="35" spans="1:23" ht="12.75">
      <c r="A35">
        <f t="shared" si="12"/>
        <v>17</v>
      </c>
      <c r="B35" s="1">
        <f t="shared" si="13"/>
        <v>2713196.6187918875</v>
      </c>
      <c r="C35" s="1">
        <f t="shared" si="4"/>
        <v>2426725.06981555</v>
      </c>
      <c r="D35" s="1">
        <f t="shared" si="5"/>
        <v>2569960.844303719</v>
      </c>
      <c r="E35" s="1">
        <f>D35*SUM('Cost of Capital'!E$17:E$17)</f>
        <v>83523.72743987087</v>
      </c>
      <c r="F35" s="1">
        <f>D35*'Cost of Capital'!E$16</f>
        <v>128498.04221518594</v>
      </c>
      <c r="G35" s="1">
        <f t="shared" si="16"/>
        <v>337116.826504</v>
      </c>
      <c r="H35" s="1">
        <f t="shared" si="6"/>
        <v>251955.77466666666</v>
      </c>
      <c r="I35" s="2">
        <f t="shared" si="0"/>
        <v>34515.7743096712</v>
      </c>
      <c r="J35" s="1">
        <f t="shared" si="7"/>
        <v>130910.98820838031</v>
      </c>
      <c r="K35" s="1">
        <f t="shared" si="8"/>
        <v>53058.22352085654</v>
      </c>
      <c r="L35" s="1">
        <f>(B$19-SUM(H$19:H34))*E$11</f>
        <v>61729.16479333336</v>
      </c>
      <c r="M35" s="1">
        <f t="shared" si="9"/>
        <v>578764.9326359134</v>
      </c>
      <c r="N35">
        <f>N34*(1/(1+'Cost of Capital'!E$21))</f>
        <v>0.31997479240865356</v>
      </c>
      <c r="O35" s="4">
        <f t="shared" si="10"/>
        <v>185190.18917358475</v>
      </c>
      <c r="P35" s="1">
        <f t="shared" si="14"/>
        <v>6993954</v>
      </c>
      <c r="Q35" s="1">
        <f t="shared" si="11"/>
        <v>2237888.979265672</v>
      </c>
      <c r="S35" s="1">
        <v>248000</v>
      </c>
      <c r="T35" s="1">
        <f t="shared" si="1"/>
        <v>79353.74851734609</v>
      </c>
      <c r="U35">
        <f t="shared" si="15"/>
        <v>17</v>
      </c>
      <c r="V35" s="30">
        <f t="shared" si="2"/>
        <v>-330764.93263591337</v>
      </c>
      <c r="W35" s="30">
        <f t="shared" si="3"/>
        <v>-105836.44065623866</v>
      </c>
    </row>
    <row r="36" spans="1:23" ht="12.75">
      <c r="A36">
        <f t="shared" si="12"/>
        <v>18</v>
      </c>
      <c r="B36" s="1">
        <f t="shared" si="13"/>
        <v>2426725.06981555</v>
      </c>
      <c r="C36" s="1">
        <f t="shared" si="4"/>
        <v>2140253.5208392125</v>
      </c>
      <c r="D36" s="1">
        <f t="shared" si="5"/>
        <v>2283489.295327381</v>
      </c>
      <c r="E36" s="1">
        <f>D36*SUM('Cost of Capital'!E$17:E$17)</f>
        <v>74213.4020981399</v>
      </c>
      <c r="F36" s="1">
        <f>D36*'Cost of Capital'!E$16</f>
        <v>114174.46476636907</v>
      </c>
      <c r="G36" s="1">
        <f t="shared" si="16"/>
        <v>337116.826504</v>
      </c>
      <c r="H36" s="1">
        <f t="shared" si="6"/>
        <v>251955.77466666666</v>
      </c>
      <c r="I36" s="2">
        <f t="shared" si="0"/>
        <v>34515.7743096712</v>
      </c>
      <c r="J36" s="1">
        <f t="shared" si="7"/>
        <v>106825.60490786434</v>
      </c>
      <c r="K36" s="1">
        <f t="shared" si="8"/>
        <v>43296.41766915742</v>
      </c>
      <c r="L36" s="1">
        <f>(B$19-SUM(H$19:H35))*E$11</f>
        <v>57319.93873666669</v>
      </c>
      <c r="M36" s="1">
        <f t="shared" si="9"/>
        <v>540959.9979369997</v>
      </c>
      <c r="N36">
        <f>N35*(1/(1+'Cost of Capital'!E$21))</f>
        <v>0.2992298595156196</v>
      </c>
      <c r="O36" s="4">
        <f t="shared" si="10"/>
        <v>161871.38418625828</v>
      </c>
      <c r="P36" s="1">
        <f t="shared" si="14"/>
        <v>6993954</v>
      </c>
      <c r="Q36" s="1">
        <f t="shared" si="11"/>
        <v>2092799.8728787056</v>
      </c>
      <c r="S36" s="1">
        <v>248000</v>
      </c>
      <c r="T36" s="1">
        <f t="shared" si="1"/>
        <v>74209.00515987366</v>
      </c>
      <c r="U36">
        <f t="shared" si="15"/>
        <v>18</v>
      </c>
      <c r="V36" s="30">
        <f t="shared" si="2"/>
        <v>-292959.99793699966</v>
      </c>
      <c r="W36" s="30">
        <f t="shared" si="3"/>
        <v>-87662.37902638462</v>
      </c>
    </row>
    <row r="37" spans="1:23" ht="12.75">
      <c r="A37">
        <f t="shared" si="12"/>
        <v>19</v>
      </c>
      <c r="B37" s="1">
        <f t="shared" si="13"/>
        <v>2140253.5208392125</v>
      </c>
      <c r="C37" s="1">
        <f t="shared" si="4"/>
        <v>1853781.9718628745</v>
      </c>
      <c r="D37" s="1">
        <f t="shared" si="5"/>
        <v>1997017.7463510435</v>
      </c>
      <c r="E37" s="1">
        <f>D37*SUM('Cost of Capital'!E$17:E$17)</f>
        <v>64903.07675640892</v>
      </c>
      <c r="F37" s="1">
        <f>D37*'Cost of Capital'!E$16</f>
        <v>99850.88731755217</v>
      </c>
      <c r="G37" s="1">
        <f t="shared" si="16"/>
        <v>337116.826504</v>
      </c>
      <c r="H37" s="1">
        <f t="shared" si="6"/>
        <v>251955.77466666666</v>
      </c>
      <c r="I37" s="2">
        <f t="shared" si="0"/>
        <v>34515.7743096712</v>
      </c>
      <c r="J37" s="1">
        <f t="shared" si="7"/>
        <v>82740.22160734836</v>
      </c>
      <c r="K37" s="1">
        <f t="shared" si="8"/>
        <v>33534.61181745829</v>
      </c>
      <c r="L37" s="1">
        <f>(B$19-SUM(H$19:H36))*E$11</f>
        <v>52910.712680000026</v>
      </c>
      <c r="M37" s="1">
        <f t="shared" si="9"/>
        <v>503155.06323808606</v>
      </c>
      <c r="N37">
        <f>N36*(1/(1+'Cost of Capital'!E$21))</f>
        <v>0.27982988332213354</v>
      </c>
      <c r="O37" s="4">
        <f t="shared" si="10"/>
        <v>140797.82263885436</v>
      </c>
      <c r="P37" s="1">
        <f t="shared" si="14"/>
        <v>6993954</v>
      </c>
      <c r="Q37" s="1">
        <f t="shared" si="11"/>
        <v>1957117.3317803692</v>
      </c>
      <c r="S37" s="1">
        <v>248000</v>
      </c>
      <c r="T37" s="1">
        <f t="shared" si="1"/>
        <v>69397.81106388912</v>
      </c>
      <c r="U37">
        <f t="shared" si="15"/>
        <v>19</v>
      </c>
      <c r="V37" s="30">
        <f t="shared" si="2"/>
        <v>-255155.06323808606</v>
      </c>
      <c r="W37" s="30">
        <f t="shared" si="3"/>
        <v>-71400.01157496523</v>
      </c>
    </row>
    <row r="38" spans="1:23" ht="12.75">
      <c r="A38">
        <f t="shared" si="12"/>
        <v>20</v>
      </c>
      <c r="B38" s="1">
        <f t="shared" si="13"/>
        <v>1853781.9718628745</v>
      </c>
      <c r="C38" s="1">
        <f t="shared" si="4"/>
        <v>1567310.4228865365</v>
      </c>
      <c r="D38" s="1">
        <f t="shared" si="5"/>
        <v>1710546.1973747055</v>
      </c>
      <c r="E38" s="1">
        <f>D38*SUM('Cost of Capital'!E$17:E$17)</f>
        <v>55592.75141467793</v>
      </c>
      <c r="F38" s="1">
        <f>D38*'Cost of Capital'!E$16</f>
        <v>85527.30986873528</v>
      </c>
      <c r="G38" s="1">
        <f t="shared" si="16"/>
        <v>337116.826504</v>
      </c>
      <c r="H38" s="1">
        <f t="shared" si="6"/>
        <v>251955.77466666666</v>
      </c>
      <c r="I38" s="2">
        <f t="shared" si="0"/>
        <v>34515.7743096712</v>
      </c>
      <c r="J38" s="1">
        <f t="shared" si="7"/>
        <v>58654.83830683228</v>
      </c>
      <c r="K38" s="1">
        <f t="shared" si="8"/>
        <v>23772.805965759122</v>
      </c>
      <c r="L38" s="1">
        <f>(B$19-SUM(H$19:H37))*E$11</f>
        <v>48501.48662333335</v>
      </c>
      <c r="M38" s="1">
        <f t="shared" si="9"/>
        <v>465350.1285391723</v>
      </c>
      <c r="N38">
        <f>N37*(1/(1+'Cost of Capital'!E$21))</f>
        <v>0.26168766622032724</v>
      </c>
      <c r="O38" s="4">
        <f t="shared" si="10"/>
        <v>121776.3891127453</v>
      </c>
      <c r="P38" s="1">
        <f t="shared" si="14"/>
        <v>6993954</v>
      </c>
      <c r="Q38" s="1">
        <f t="shared" si="11"/>
        <v>1830231.4999123225</v>
      </c>
      <c r="S38" s="1">
        <v>248000</v>
      </c>
      <c r="T38" s="1">
        <f t="shared" si="1"/>
        <v>64898.54122264116</v>
      </c>
      <c r="U38">
        <f t="shared" si="15"/>
        <v>20</v>
      </c>
      <c r="V38" s="30">
        <f t="shared" si="2"/>
        <v>-217350.1285391723</v>
      </c>
      <c r="W38" s="30">
        <f t="shared" si="3"/>
        <v>-56877.84789010414</v>
      </c>
    </row>
    <row r="39" spans="1:23" ht="12.75">
      <c r="A39">
        <f t="shared" si="12"/>
        <v>21</v>
      </c>
      <c r="B39" s="1">
        <f t="shared" si="13"/>
        <v>1567310.4228865365</v>
      </c>
      <c r="C39" s="1">
        <f t="shared" si="4"/>
        <v>1349155.598801234</v>
      </c>
      <c r="D39" s="1">
        <f t="shared" si="5"/>
        <v>1458233.0108438851</v>
      </c>
      <c r="E39" s="1">
        <f>D39*SUM('Cost of Capital'!E$17:E$17)</f>
        <v>47392.57285242627</v>
      </c>
      <c r="F39" s="1">
        <f>D39*'Cost of Capital'!E$16</f>
        <v>72911.65054219426</v>
      </c>
      <c r="G39" s="1">
        <f>B$19*0.0223</f>
        <v>168558.413252</v>
      </c>
      <c r="H39" s="1">
        <f t="shared" si="6"/>
        <v>251955.77466666666</v>
      </c>
      <c r="I39" s="2">
        <f t="shared" si="0"/>
        <v>-33800.9505813644</v>
      </c>
      <c r="J39" s="1">
        <f t="shared" si="7"/>
        <v>205999.76690011183</v>
      </c>
      <c r="K39" s="1">
        <f t="shared" si="8"/>
        <v>83491.70552461532</v>
      </c>
      <c r="L39" s="1">
        <f>(B$19-SUM(H$19:H38))*E$11</f>
        <v>44092.26056666668</v>
      </c>
      <c r="M39" s="1">
        <f t="shared" si="9"/>
        <v>499843.9641525692</v>
      </c>
      <c r="N39">
        <f>N38*(1/(1+'Cost of Capital'!E$21))</f>
        <v>0.2447216638867992</v>
      </c>
      <c r="O39" s="4">
        <f t="shared" si="10"/>
        <v>122322.64659119034</v>
      </c>
      <c r="P39" s="1">
        <f t="shared" si="14"/>
        <v>6993954</v>
      </c>
      <c r="Q39" s="1">
        <f t="shared" si="11"/>
        <v>1711572.0600277348</v>
      </c>
      <c r="S39" s="1">
        <v>248000</v>
      </c>
      <c r="T39" s="1">
        <f t="shared" si="1"/>
        <v>60690.9726439262</v>
      </c>
      <c r="U39">
        <f t="shared" si="15"/>
        <v>21</v>
      </c>
      <c r="V39" s="30">
        <f t="shared" si="2"/>
        <v>-251843.96415256918</v>
      </c>
      <c r="W39" s="30">
        <f t="shared" si="3"/>
        <v>-61631.673947264135</v>
      </c>
    </row>
    <row r="40" spans="1:23" ht="12.75">
      <c r="A40">
        <f t="shared" si="12"/>
        <v>22</v>
      </c>
      <c r="B40" s="1">
        <f t="shared" si="13"/>
        <v>1349155.598801234</v>
      </c>
      <c r="C40" s="1">
        <f t="shared" si="4"/>
        <v>1199317.4996069672</v>
      </c>
      <c r="D40" s="1">
        <f t="shared" si="5"/>
        <v>1274236.5492041006</v>
      </c>
      <c r="E40" s="1">
        <f>D40*SUM('Cost of Capital'!E$17:E$17)</f>
        <v>41412.68784913327</v>
      </c>
      <c r="F40" s="1">
        <f>D40*'Cost of Capital'!E$16</f>
        <v>63711.82746020504</v>
      </c>
      <c r="G40" s="1">
        <v>0</v>
      </c>
      <c r="H40" s="1">
        <f t="shared" si="6"/>
        <v>251955.77466666666</v>
      </c>
      <c r="I40" s="2">
        <f t="shared" si="0"/>
        <v>-102117.67547239999</v>
      </c>
      <c r="J40" s="1">
        <f t="shared" si="7"/>
        <v>359088.4927769829</v>
      </c>
      <c r="K40" s="1">
        <f t="shared" si="8"/>
        <v>145538.56612251117</v>
      </c>
      <c r="L40" s="1">
        <f>(B$19-SUM(H$19:H39))*E$11</f>
        <v>39683.034510000005</v>
      </c>
      <c r="M40" s="1">
        <f t="shared" si="9"/>
        <v>542301.8906085162</v>
      </c>
      <c r="N40">
        <f>N39*(1/(1+'Cost of Capital'!E$21))</f>
        <v>0.22885561876309596</v>
      </c>
      <c r="O40" s="4">
        <f t="shared" si="10"/>
        <v>124108.83473160875</v>
      </c>
      <c r="P40" s="1">
        <f t="shared" si="14"/>
        <v>6993954</v>
      </c>
      <c r="Q40" s="1">
        <f t="shared" si="11"/>
        <v>1600605.67027063</v>
      </c>
      <c r="S40" s="1">
        <v>248000</v>
      </c>
      <c r="T40" s="1">
        <f t="shared" si="1"/>
        <v>56756.1934532478</v>
      </c>
      <c r="U40">
        <f t="shared" si="15"/>
        <v>22</v>
      </c>
      <c r="V40" s="30">
        <f t="shared" si="2"/>
        <v>-294301.8906085162</v>
      </c>
      <c r="W40" s="30">
        <f t="shared" si="3"/>
        <v>-67352.64127836094</v>
      </c>
    </row>
    <row r="41" spans="1:23" ht="12.75">
      <c r="A41">
        <f t="shared" si="12"/>
        <v>23</v>
      </c>
      <c r="B41" s="1">
        <f t="shared" si="13"/>
        <v>1199317.4996069672</v>
      </c>
      <c r="C41" s="1">
        <f t="shared" si="4"/>
        <v>1049479.4004127006</v>
      </c>
      <c r="D41" s="1">
        <f t="shared" si="5"/>
        <v>1124398.450009834</v>
      </c>
      <c r="E41" s="1">
        <f>D41*SUM('Cost of Capital'!E$17:E$17)</f>
        <v>36542.949625319605</v>
      </c>
      <c r="F41" s="1">
        <f>D41*'Cost of Capital'!E$16</f>
        <v>56219.9225004917</v>
      </c>
      <c r="G41" s="1">
        <v>0</v>
      </c>
      <c r="H41" s="1">
        <f t="shared" si="6"/>
        <v>251955.77466666666</v>
      </c>
      <c r="I41" s="2">
        <f t="shared" si="0"/>
        <v>-102117.67547239999</v>
      </c>
      <c r="J41" s="1">
        <f t="shared" si="7"/>
        <v>346490.70404364954</v>
      </c>
      <c r="K41" s="1">
        <f t="shared" si="8"/>
        <v>140432.68234889116</v>
      </c>
      <c r="L41" s="1">
        <f>(B$19-SUM(H$19:H40))*E$11</f>
        <v>35273.80845333333</v>
      </c>
      <c r="M41" s="1">
        <f t="shared" si="9"/>
        <v>520425.1375947025</v>
      </c>
      <c r="N41">
        <f>N40*(1/(1+'Cost of Capital'!E$21))</f>
        <v>0.21401821729876172</v>
      </c>
      <c r="O41" s="4">
        <f t="shared" si="10"/>
        <v>111380.460185481</v>
      </c>
      <c r="P41" s="1">
        <f t="shared" si="14"/>
        <v>6993954</v>
      </c>
      <c r="Q41" s="1">
        <f t="shared" si="11"/>
        <v>1496833.5669495438</v>
      </c>
      <c r="S41" s="1">
        <v>248000</v>
      </c>
      <c r="T41" s="1">
        <f t="shared" si="1"/>
        <v>53076.51789009291</v>
      </c>
      <c r="U41">
        <f t="shared" si="15"/>
        <v>23</v>
      </c>
      <c r="V41" s="30">
        <f t="shared" si="2"/>
        <v>-272425.1375947025</v>
      </c>
      <c r="W41" s="30">
        <f t="shared" si="3"/>
        <v>-58303.94229538809</v>
      </c>
    </row>
    <row r="42" spans="1:23" ht="12.75">
      <c r="A42">
        <f t="shared" si="12"/>
        <v>24</v>
      </c>
      <c r="B42" s="1">
        <f t="shared" si="13"/>
        <v>1049479.4004127006</v>
      </c>
      <c r="C42" s="1">
        <f t="shared" si="4"/>
        <v>899641.301218434</v>
      </c>
      <c r="D42" s="1">
        <f t="shared" si="5"/>
        <v>974560.3508155673</v>
      </c>
      <c r="E42" s="1">
        <f>D42*SUM('Cost of Capital'!E$17:E$17)</f>
        <v>31673.211401505938</v>
      </c>
      <c r="F42" s="1">
        <f>D42*'Cost of Capital'!E$16</f>
        <v>48728.01754077837</v>
      </c>
      <c r="G42" s="1">
        <v>0</v>
      </c>
      <c r="H42" s="1">
        <f t="shared" si="6"/>
        <v>251955.77466666666</v>
      </c>
      <c r="I42" s="2">
        <f t="shared" si="0"/>
        <v>-102117.67547239999</v>
      </c>
      <c r="J42" s="1">
        <f t="shared" si="7"/>
        <v>333892.9153103162</v>
      </c>
      <c r="K42" s="1">
        <f t="shared" si="8"/>
        <v>135326.79857527115</v>
      </c>
      <c r="L42" s="1">
        <f>(B$19-SUM(H$19:H41))*E$11</f>
        <v>30864.58239666666</v>
      </c>
      <c r="M42" s="1">
        <f t="shared" si="9"/>
        <v>498548.3845808888</v>
      </c>
      <c r="N42">
        <f>N41*(1/(1+'Cost of Capital'!E$21))</f>
        <v>0.2001427694163569</v>
      </c>
      <c r="O42" s="4">
        <f t="shared" si="10"/>
        <v>99780.85437807004</v>
      </c>
      <c r="P42" s="1">
        <f t="shared" si="14"/>
        <v>6993954</v>
      </c>
      <c r="Q42" s="1">
        <f t="shared" si="11"/>
        <v>1399789.322730607</v>
      </c>
      <c r="S42" s="1">
        <v>248000</v>
      </c>
      <c r="T42" s="1">
        <f t="shared" si="1"/>
        <v>49635.40681525651</v>
      </c>
      <c r="U42">
        <f t="shared" si="15"/>
        <v>24</v>
      </c>
      <c r="V42" s="30">
        <f t="shared" si="2"/>
        <v>-250548.38458088879</v>
      </c>
      <c r="W42" s="30">
        <f t="shared" si="3"/>
        <v>-50145.44756281353</v>
      </c>
    </row>
    <row r="43" spans="1:23" ht="12.75">
      <c r="A43">
        <f t="shared" si="12"/>
        <v>25</v>
      </c>
      <c r="B43" s="1">
        <f t="shared" si="13"/>
        <v>899641.301218434</v>
      </c>
      <c r="C43" s="1">
        <f t="shared" si="4"/>
        <v>749803.2020241674</v>
      </c>
      <c r="D43" s="1">
        <f t="shared" si="5"/>
        <v>824722.2516213007</v>
      </c>
      <c r="E43" s="1">
        <f>D43*SUM('Cost of Capital'!E$17:E$17)</f>
        <v>26803.473177692274</v>
      </c>
      <c r="F43" s="1">
        <f>D43*'Cost of Capital'!E$16</f>
        <v>41236.11258106504</v>
      </c>
      <c r="G43" s="1">
        <v>0</v>
      </c>
      <c r="H43" s="1">
        <f t="shared" si="6"/>
        <v>251955.77466666666</v>
      </c>
      <c r="I43" s="2">
        <f t="shared" si="0"/>
        <v>-102117.67547239999</v>
      </c>
      <c r="J43" s="1">
        <f t="shared" si="7"/>
        <v>321295.12657698285</v>
      </c>
      <c r="K43" s="1">
        <f t="shared" si="8"/>
        <v>130220.91480165115</v>
      </c>
      <c r="L43" s="1">
        <f>(B$19-SUM(H$19:H42))*E$11</f>
        <v>26455.356339999988</v>
      </c>
      <c r="M43" s="1">
        <f t="shared" si="9"/>
        <v>476671.6315670751</v>
      </c>
      <c r="N43">
        <f>N42*(1/(1+'Cost of Capital'!E$21))</f>
        <v>0.1871669087577283</v>
      </c>
      <c r="O43" s="4">
        <f t="shared" si="10"/>
        <v>89217.15577291221</v>
      </c>
      <c r="P43" s="1">
        <f t="shared" si="14"/>
        <v>6993954</v>
      </c>
      <c r="Q43" s="1">
        <f t="shared" si="11"/>
        <v>1309036.7501737487</v>
      </c>
      <c r="S43" s="1">
        <v>248000</v>
      </c>
      <c r="T43" s="1">
        <f t="shared" si="1"/>
        <v>46417.393371916616</v>
      </c>
      <c r="U43">
        <f t="shared" si="15"/>
        <v>25</v>
      </c>
      <c r="V43" s="30">
        <f t="shared" si="2"/>
        <v>-228671.6315670751</v>
      </c>
      <c r="W43" s="30">
        <f t="shared" si="3"/>
        <v>-42799.7624009956</v>
      </c>
    </row>
    <row r="44" spans="1:23" ht="12.75">
      <c r="A44">
        <f t="shared" si="12"/>
        <v>26</v>
      </c>
      <c r="B44" s="1">
        <f t="shared" si="13"/>
        <v>749803.2020241674</v>
      </c>
      <c r="C44" s="1">
        <f t="shared" si="4"/>
        <v>599965.1028299008</v>
      </c>
      <c r="D44" s="1">
        <f t="shared" si="5"/>
        <v>674884.1524270341</v>
      </c>
      <c r="E44" s="1">
        <f>D44*SUM('Cost of Capital'!E$17:E$17)</f>
        <v>21933.734953878607</v>
      </c>
      <c r="F44" s="1">
        <f>D44*'Cost of Capital'!E$16</f>
        <v>33744.20762135171</v>
      </c>
      <c r="G44" s="1">
        <v>0</v>
      </c>
      <c r="H44" s="1">
        <f t="shared" si="6"/>
        <v>251955.77466666666</v>
      </c>
      <c r="I44" s="2">
        <f t="shared" si="0"/>
        <v>-102117.67547239999</v>
      </c>
      <c r="J44" s="1">
        <f t="shared" si="7"/>
        <v>308697.3378436496</v>
      </c>
      <c r="K44" s="1">
        <f t="shared" si="8"/>
        <v>125115.03102803118</v>
      </c>
      <c r="L44" s="1">
        <f>(B$19-SUM(H$19:H43))*E$11</f>
        <v>22046.130283333314</v>
      </c>
      <c r="M44" s="1">
        <f t="shared" si="9"/>
        <v>454794.87855326146</v>
      </c>
      <c r="N44">
        <f>N43*(1/(1+'Cost of Capital'!E$21))</f>
        <v>0.17503231236421976</v>
      </c>
      <c r="O44" s="4">
        <f t="shared" si="10"/>
        <v>79603.79924458185</v>
      </c>
      <c r="P44" s="1">
        <f t="shared" si="14"/>
        <v>6993954</v>
      </c>
      <c r="Q44" s="1">
        <f t="shared" si="11"/>
        <v>1224167.9411889843</v>
      </c>
      <c r="S44" s="1">
        <v>248000</v>
      </c>
      <c r="T44" s="1">
        <f t="shared" si="1"/>
        <v>43408.0134663265</v>
      </c>
      <c r="U44">
        <f t="shared" si="15"/>
        <v>26</v>
      </c>
      <c r="V44" s="30">
        <f t="shared" si="2"/>
        <v>-206794.87855326146</v>
      </c>
      <c r="W44" s="30">
        <f t="shared" si="3"/>
        <v>-36195.785778255355</v>
      </c>
    </row>
    <row r="45" spans="1:23" ht="12.75">
      <c r="A45">
        <f t="shared" si="12"/>
        <v>27</v>
      </c>
      <c r="B45" s="1">
        <f t="shared" si="13"/>
        <v>599965.1028299008</v>
      </c>
      <c r="C45" s="1">
        <f t="shared" si="4"/>
        <v>450127.00363563414</v>
      </c>
      <c r="D45" s="1">
        <f t="shared" si="5"/>
        <v>525046.0532327675</v>
      </c>
      <c r="E45" s="1">
        <f>D45*SUM('Cost of Capital'!E$17:E$17)</f>
        <v>17063.996730064944</v>
      </c>
      <c r="F45" s="1">
        <f>D45*'Cost of Capital'!E$16</f>
        <v>26252.302661638376</v>
      </c>
      <c r="G45" s="1">
        <v>0</v>
      </c>
      <c r="H45" s="1">
        <f t="shared" si="6"/>
        <v>251955.77466666666</v>
      </c>
      <c r="I45" s="2">
        <f t="shared" si="0"/>
        <v>-102117.67547239999</v>
      </c>
      <c r="J45" s="1">
        <f t="shared" si="7"/>
        <v>296099.54911031626</v>
      </c>
      <c r="K45" s="1">
        <f t="shared" si="8"/>
        <v>120009.14725441117</v>
      </c>
      <c r="L45" s="1">
        <f>(B$19-SUM(H$19:H44))*E$11</f>
        <v>17636.90422666664</v>
      </c>
      <c r="M45" s="1">
        <f t="shared" si="9"/>
        <v>432918.1255394478</v>
      </c>
      <c r="N45">
        <f>N44*(1/(1+'Cost of Capital'!E$21))</f>
        <v>0.16368443853086181</v>
      </c>
      <c r="O45" s="4">
        <f t="shared" si="10"/>
        <v>70861.96030875767</v>
      </c>
      <c r="P45" s="1">
        <f t="shared" si="14"/>
        <v>6993954</v>
      </c>
      <c r="Q45" s="1">
        <f t="shared" si="11"/>
        <v>1144801.433600675</v>
      </c>
      <c r="S45" s="1">
        <v>248000</v>
      </c>
      <c r="T45" s="1">
        <f t="shared" si="1"/>
        <v>40593.74075565373</v>
      </c>
      <c r="U45">
        <f t="shared" si="15"/>
        <v>27</v>
      </c>
      <c r="V45" s="30">
        <f t="shared" si="2"/>
        <v>-184918.12553944782</v>
      </c>
      <c r="W45" s="30">
        <f t="shared" si="3"/>
        <v>-30268.21955310394</v>
      </c>
    </row>
    <row r="46" spans="1:23" ht="12.75">
      <c r="A46">
        <f t="shared" si="12"/>
        <v>28</v>
      </c>
      <c r="B46" s="1">
        <f t="shared" si="13"/>
        <v>450127.00363563414</v>
      </c>
      <c r="C46" s="1">
        <f t="shared" si="4"/>
        <v>300288.9044413675</v>
      </c>
      <c r="D46" s="1">
        <f t="shared" si="5"/>
        <v>375207.9540385008</v>
      </c>
      <c r="E46" s="1">
        <f>D46*SUM('Cost of Capital'!E$17:E$17)</f>
        <v>12194.258506251275</v>
      </c>
      <c r="F46" s="1">
        <f>D46*'Cost of Capital'!E$16</f>
        <v>18760.39770192504</v>
      </c>
      <c r="G46" s="1">
        <v>0</v>
      </c>
      <c r="H46" s="1">
        <f t="shared" si="6"/>
        <v>251955.77466666666</v>
      </c>
      <c r="I46" s="2">
        <f t="shared" si="0"/>
        <v>-102117.67547239999</v>
      </c>
      <c r="J46" s="1">
        <f t="shared" si="7"/>
        <v>283501.7603769829</v>
      </c>
      <c r="K46" s="1">
        <f t="shared" si="8"/>
        <v>114903.26348079117</v>
      </c>
      <c r="L46" s="1">
        <f>(B$19-SUM(H$19:H45))*E$11</f>
        <v>13227.678169999968</v>
      </c>
      <c r="M46" s="1">
        <f t="shared" si="9"/>
        <v>411041.3725256341</v>
      </c>
      <c r="N46">
        <f>N45*(1/(1+'Cost of Capital'!E$21))</f>
        <v>0.15307228165626657</v>
      </c>
      <c r="O46" s="4">
        <f t="shared" si="10"/>
        <v>62919.04074762226</v>
      </c>
      <c r="P46" s="1">
        <f t="shared" si="14"/>
        <v>6993954</v>
      </c>
      <c r="Q46" s="1">
        <f t="shared" si="11"/>
        <v>1070580.4965789723</v>
      </c>
      <c r="S46" s="1">
        <v>248000</v>
      </c>
      <c r="T46" s="1">
        <f t="shared" si="1"/>
        <v>37961.92585075411</v>
      </c>
      <c r="U46">
        <f t="shared" si="15"/>
        <v>28</v>
      </c>
      <c r="V46" s="30">
        <f t="shared" si="2"/>
        <v>-163041.37252563413</v>
      </c>
      <c r="W46" s="30">
        <f t="shared" si="3"/>
        <v>-24957.114896868152</v>
      </c>
    </row>
    <row r="47" spans="1:23" ht="12.75">
      <c r="A47">
        <f t="shared" si="12"/>
        <v>29</v>
      </c>
      <c r="B47" s="1">
        <f t="shared" si="13"/>
        <v>300288.9044413675</v>
      </c>
      <c r="C47" s="1">
        <f t="shared" si="4"/>
        <v>150450.80524710083</v>
      </c>
      <c r="D47" s="1">
        <f t="shared" si="5"/>
        <v>225369.85484423416</v>
      </c>
      <c r="E47" s="1">
        <f>D47*SUM('Cost of Capital'!E$17:E$17)</f>
        <v>7324.52028243761</v>
      </c>
      <c r="F47" s="1">
        <f>D47*'Cost of Capital'!E$16</f>
        <v>11268.492742211709</v>
      </c>
      <c r="G47" s="1">
        <v>0</v>
      </c>
      <c r="H47" s="1">
        <f t="shared" si="6"/>
        <v>251955.77466666666</v>
      </c>
      <c r="I47" s="2">
        <f t="shared" si="0"/>
        <v>-102117.67547239999</v>
      </c>
      <c r="J47" s="1">
        <f t="shared" si="7"/>
        <v>270903.97164364957</v>
      </c>
      <c r="K47" s="1">
        <f t="shared" si="8"/>
        <v>109797.37970717117</v>
      </c>
      <c r="L47" s="1">
        <f>(B$19-SUM(H$19:H46))*E$11</f>
        <v>8818.452113333296</v>
      </c>
      <c r="M47" s="1">
        <f t="shared" si="9"/>
        <v>389164.61951182043</v>
      </c>
      <c r="N47">
        <f>N46*(1/(1+'Cost of Capital'!E$21))</f>
        <v>0.14314814298634498</v>
      </c>
      <c r="O47" s="4">
        <f t="shared" si="10"/>
        <v>55708.192599104616</v>
      </c>
      <c r="P47" s="1">
        <f t="shared" si="14"/>
        <v>6993954</v>
      </c>
      <c r="Q47" s="1">
        <f t="shared" si="11"/>
        <v>1001171.5272319195</v>
      </c>
      <c r="S47" s="1">
        <v>248000</v>
      </c>
      <c r="T47" s="1">
        <f t="shared" si="1"/>
        <v>35500.73946061356</v>
      </c>
      <c r="U47">
        <f t="shared" si="15"/>
        <v>29</v>
      </c>
      <c r="V47" s="30">
        <f t="shared" si="2"/>
        <v>-141164.61951182043</v>
      </c>
      <c r="W47" s="30">
        <f t="shared" si="3"/>
        <v>-20207.45313849106</v>
      </c>
    </row>
    <row r="48" spans="1:23" ht="12.75">
      <c r="A48">
        <f t="shared" si="12"/>
        <v>30</v>
      </c>
      <c r="B48" s="1">
        <f t="shared" si="13"/>
        <v>150450.80524710083</v>
      </c>
      <c r="C48" s="1">
        <f t="shared" si="4"/>
        <v>612.7060528341535</v>
      </c>
      <c r="D48" s="1">
        <f t="shared" si="5"/>
        <v>75531.7556499675</v>
      </c>
      <c r="E48" s="1">
        <f>D48*SUM('Cost of Capital'!E$17:E$17)</f>
        <v>2454.7820586239436</v>
      </c>
      <c r="F48" s="1">
        <f>D48*'Cost of Capital'!E$16</f>
        <v>3776.587782498375</v>
      </c>
      <c r="G48" s="1">
        <v>0</v>
      </c>
      <c r="H48" s="1">
        <f t="shared" si="6"/>
        <v>251955.77466666666</v>
      </c>
      <c r="I48" s="2">
        <f t="shared" si="0"/>
        <v>-102117.67547239999</v>
      </c>
      <c r="J48" s="1">
        <f t="shared" si="7"/>
        <v>258306.18291031622</v>
      </c>
      <c r="K48" s="1">
        <f t="shared" si="8"/>
        <v>104691.49593355117</v>
      </c>
      <c r="L48" s="1">
        <f>(B$19-SUM(H$19:H47))*E$11</f>
        <v>4409.226056666624</v>
      </c>
      <c r="M48" s="1">
        <f t="shared" si="9"/>
        <v>367287.8664980068</v>
      </c>
      <c r="N48">
        <f>N47*(1/(1+'Cost of Capital'!E$21))</f>
        <v>0.1338674162214017</v>
      </c>
      <c r="O48" s="4">
        <f t="shared" si="10"/>
        <v>49167.87769755929</v>
      </c>
      <c r="P48" s="1">
        <f t="shared" si="14"/>
        <v>6993954</v>
      </c>
      <c r="Q48" s="1">
        <f t="shared" si="11"/>
        <v>936262.5511513372</v>
      </c>
      <c r="S48" s="1">
        <v>248000</v>
      </c>
      <c r="T48" s="1">
        <f t="shared" si="1"/>
        <v>33199.11922290762</v>
      </c>
      <c r="U48">
        <f t="shared" si="15"/>
        <v>30</v>
      </c>
      <c r="V48" s="30">
        <f t="shared" si="2"/>
        <v>-119287.8664980068</v>
      </c>
      <c r="W48" s="30">
        <f t="shared" si="3"/>
        <v>-15968.758474651673</v>
      </c>
    </row>
    <row r="49" spans="1:23" ht="12.75" hidden="1">
      <c r="A49">
        <f t="shared" si="12"/>
        <v>31</v>
      </c>
      <c r="B49" s="1">
        <f t="shared" si="13"/>
        <v>612.7060528341535</v>
      </c>
      <c r="C49" s="1">
        <f t="shared" si="4"/>
        <v>-149225.39314143255</v>
      </c>
      <c r="D49" s="1">
        <f t="shared" si="5"/>
        <v>-74306.34354429919</v>
      </c>
      <c r="E49" s="1">
        <f>D49*SUM('Cost of Capital'!E$17:E$17)</f>
        <v>-2414.956165189724</v>
      </c>
      <c r="F49" s="1">
        <f>D49*'Cost of Capital'!E$16</f>
        <v>-3715.31717721496</v>
      </c>
      <c r="G49" s="1">
        <v>0</v>
      </c>
      <c r="H49" s="1">
        <f t="shared" si="6"/>
        <v>251955.77466666666</v>
      </c>
      <c r="I49" s="2">
        <f t="shared" si="0"/>
        <v>-102117.67547239999</v>
      </c>
      <c r="J49" s="1">
        <f t="shared" si="7"/>
        <v>245708.39417698287</v>
      </c>
      <c r="K49" s="1">
        <f t="shared" si="8"/>
        <v>99585.61215993116</v>
      </c>
      <c r="L49" s="1">
        <f>(B$19-SUM(H$19:H48))*E$11</f>
        <v>-4.8894435167312627E-11</v>
      </c>
      <c r="M49" s="1">
        <f t="shared" si="9"/>
        <v>345411.11348419305</v>
      </c>
      <c r="N49">
        <f>N48*(1/(1+'Cost of Capital'!E$21))</f>
        <v>0.12518838702296997</v>
      </c>
      <c r="O49" s="4">
        <f t="shared" si="10"/>
        <v>43241.46015689416</v>
      </c>
      <c r="P49" s="1">
        <f t="shared" si="14"/>
        <v>6993954</v>
      </c>
      <c r="Q49" s="1">
        <f t="shared" si="11"/>
        <v>875561.8201728489</v>
      </c>
      <c r="S49" s="1">
        <v>50000</v>
      </c>
      <c r="T49" s="1">
        <f t="shared" si="1"/>
        <v>6259.419351148498</v>
      </c>
      <c r="U49">
        <f t="shared" si="15"/>
        <v>31</v>
      </c>
      <c r="V49" s="30">
        <f t="shared" si="2"/>
        <v>-295411.11348419305</v>
      </c>
      <c r="W49" s="30">
        <f t="shared" si="3"/>
        <v>-36982.04080574566</v>
      </c>
    </row>
    <row r="50" spans="1:23" ht="12.75" hidden="1">
      <c r="A50">
        <f t="shared" si="12"/>
        <v>32</v>
      </c>
      <c r="B50" s="1">
        <f t="shared" si="13"/>
        <v>-149225.39314143255</v>
      </c>
      <c r="C50" s="1">
        <f t="shared" si="4"/>
        <v>-299063.4923356992</v>
      </c>
      <c r="D50" s="1">
        <f t="shared" si="5"/>
        <v>-224144.44273856588</v>
      </c>
      <c r="E50" s="1">
        <f>D50*SUM('Cost of Capital'!E$17:E$17)</f>
        <v>-7284.694389003392</v>
      </c>
      <c r="F50" s="1">
        <f>D50*'Cost of Capital'!E$16</f>
        <v>-11207.222136928294</v>
      </c>
      <c r="G50" s="1">
        <v>0</v>
      </c>
      <c r="H50" s="1">
        <f t="shared" si="6"/>
        <v>251955.77466666666</v>
      </c>
      <c r="I50" s="2">
        <f t="shared" si="0"/>
        <v>-102117.67547239999</v>
      </c>
      <c r="J50" s="1">
        <f t="shared" si="7"/>
        <v>233110.60544364952</v>
      </c>
      <c r="K50" s="1">
        <f t="shared" si="8"/>
        <v>94479.72838631115</v>
      </c>
      <c r="L50" s="1">
        <f>(B$19-SUM(H$19:H49))*E$11</f>
        <v>-4409.226056666722</v>
      </c>
      <c r="M50" s="1">
        <f t="shared" si="9"/>
        <v>323534.36047037947</v>
      </c>
      <c r="N50">
        <f>N49*(1/(1+'Cost of Capital'!E$21))</f>
        <v>0.11707204551922455</v>
      </c>
      <c r="O50" s="4">
        <f t="shared" si="10"/>
        <v>37876.82937602147</v>
      </c>
      <c r="P50" s="1">
        <f t="shared" si="14"/>
        <v>6993954</v>
      </c>
      <c r="Q50" s="1">
        <f t="shared" si="11"/>
        <v>818796.5010473626</v>
      </c>
      <c r="S50" s="1">
        <f>+S49</f>
        <v>50000</v>
      </c>
      <c r="T50" s="1">
        <f t="shared" si="1"/>
        <v>5853.602275961228</v>
      </c>
      <c r="U50">
        <f t="shared" si="15"/>
        <v>32</v>
      </c>
      <c r="V50" s="30">
        <f t="shared" si="2"/>
        <v>-273534.36047037947</v>
      </c>
      <c r="W50" s="30">
        <f t="shared" si="3"/>
        <v>-32023.227100060245</v>
      </c>
    </row>
    <row r="51" spans="1:23" ht="12.75" hidden="1">
      <c r="A51">
        <f t="shared" si="12"/>
        <v>33</v>
      </c>
      <c r="B51" s="1">
        <f t="shared" si="13"/>
        <v>-299063.4923356992</v>
      </c>
      <c r="C51" s="1">
        <f t="shared" si="4"/>
        <v>-448901.5915299659</v>
      </c>
      <c r="D51" s="1">
        <f t="shared" si="5"/>
        <v>-373982.54193283257</v>
      </c>
      <c r="E51" s="1">
        <f>D51*SUM('Cost of Capital'!E$17:E$17)</f>
        <v>-12154.43261281706</v>
      </c>
      <c r="F51" s="1">
        <f>D51*'Cost of Capital'!E$16</f>
        <v>-18699.12709664163</v>
      </c>
      <c r="G51" s="1">
        <v>0</v>
      </c>
      <c r="H51" s="1">
        <f t="shared" si="6"/>
        <v>251955.77466666666</v>
      </c>
      <c r="I51" s="2">
        <f t="shared" si="0"/>
        <v>-102117.67547239999</v>
      </c>
      <c r="J51" s="1">
        <f t="shared" si="7"/>
        <v>220512.81671031617</v>
      </c>
      <c r="K51" s="1">
        <f t="shared" si="8"/>
        <v>89373.84461269114</v>
      </c>
      <c r="L51" s="1">
        <f>(B$19-SUM(H$19:H50))*E$11</f>
        <v>-8818.452113333395</v>
      </c>
      <c r="M51" s="1">
        <f t="shared" si="9"/>
        <v>301657.6074565657</v>
      </c>
      <c r="N51">
        <f>N50*(1/(1+'Cost of Capital'!E$21))</f>
        <v>0.10948191096623515</v>
      </c>
      <c r="O51" s="4">
        <f t="shared" si="10"/>
        <v>33026.05132184724</v>
      </c>
      <c r="P51" s="1">
        <f t="shared" si="14"/>
        <v>6993954</v>
      </c>
      <c r="Q51" s="1">
        <f t="shared" si="11"/>
        <v>765711.4491299442</v>
      </c>
      <c r="S51" s="1">
        <f aca="true" t="shared" si="17" ref="S51:S58">+S50</f>
        <v>50000</v>
      </c>
      <c r="T51" s="1">
        <f t="shared" si="1"/>
        <v>5474.095548311758</v>
      </c>
      <c r="U51">
        <f t="shared" si="15"/>
        <v>33</v>
      </c>
      <c r="V51" s="30">
        <f t="shared" si="2"/>
        <v>-251657.60745656572</v>
      </c>
      <c r="W51" s="30">
        <f t="shared" si="3"/>
        <v>-27551.955773535483</v>
      </c>
    </row>
    <row r="52" spans="1:23" ht="12.75" hidden="1">
      <c r="A52">
        <f t="shared" si="12"/>
        <v>34</v>
      </c>
      <c r="B52" s="1">
        <f t="shared" si="13"/>
        <v>-448901.5915299659</v>
      </c>
      <c r="C52" s="1">
        <f t="shared" si="4"/>
        <v>-598739.6907242326</v>
      </c>
      <c r="D52" s="1">
        <f t="shared" si="5"/>
        <v>-523820.6411270993</v>
      </c>
      <c r="E52" s="1">
        <f>D52*SUM('Cost of Capital'!E$17:E$17)</f>
        <v>-17024.17083663073</v>
      </c>
      <c r="F52" s="1">
        <f>D52*'Cost of Capital'!E$16</f>
        <v>-26191.032056354965</v>
      </c>
      <c r="G52" s="1">
        <v>0</v>
      </c>
      <c r="H52" s="1">
        <f t="shared" si="6"/>
        <v>251955.77466666666</v>
      </c>
      <c r="I52" s="2">
        <f t="shared" si="0"/>
        <v>-102117.67547239999</v>
      </c>
      <c r="J52" s="1">
        <f t="shared" si="7"/>
        <v>207915.02797698285</v>
      </c>
      <c r="K52" s="1">
        <f t="shared" si="8"/>
        <v>84267.96083907115</v>
      </c>
      <c r="L52" s="1">
        <f>(B$19-SUM(H$19:H51))*E$11</f>
        <v>-13227.678170000067</v>
      </c>
      <c r="M52" s="1">
        <f t="shared" si="9"/>
        <v>279780.854442752</v>
      </c>
      <c r="N52">
        <f>N51*(1/(1+'Cost of Capital'!E$21))</f>
        <v>0.10238386777696094</v>
      </c>
      <c r="O52" s="4">
        <f t="shared" si="10"/>
        <v>28645.04600779188</v>
      </c>
      <c r="P52" s="1">
        <f t="shared" si="14"/>
        <v>6993954</v>
      </c>
      <c r="Q52" s="1">
        <f t="shared" si="11"/>
        <v>716068.0615741471</v>
      </c>
      <c r="S52" s="1">
        <f t="shared" si="17"/>
        <v>50000</v>
      </c>
      <c r="T52" s="1">
        <f t="shared" si="1"/>
        <v>5119.193388848047</v>
      </c>
      <c r="U52">
        <f t="shared" si="15"/>
        <v>34</v>
      </c>
      <c r="V52" s="30">
        <f t="shared" si="2"/>
        <v>-229780.85444275202</v>
      </c>
      <c r="W52" s="30">
        <f t="shared" si="3"/>
        <v>-23525.852618943834</v>
      </c>
    </row>
    <row r="53" spans="1:23" ht="12.75" hidden="1">
      <c r="A53">
        <f t="shared" si="12"/>
        <v>35</v>
      </c>
      <c r="B53" s="1">
        <f t="shared" si="13"/>
        <v>-598739.6907242326</v>
      </c>
      <c r="C53" s="1">
        <f t="shared" si="4"/>
        <v>-748577.7899184992</v>
      </c>
      <c r="D53" s="1">
        <f t="shared" si="5"/>
        <v>-673658.7403213659</v>
      </c>
      <c r="E53" s="1">
        <f>D53*SUM('Cost of Capital'!E$17:E$17)</f>
        <v>-21893.90906044439</v>
      </c>
      <c r="F53" s="1">
        <f>D53*'Cost of Capital'!E$16</f>
        <v>-33682.937016068296</v>
      </c>
      <c r="G53" s="1">
        <v>0</v>
      </c>
      <c r="H53" s="1">
        <f t="shared" si="6"/>
        <v>251955.77466666666</v>
      </c>
      <c r="I53" s="2">
        <f t="shared" si="0"/>
        <v>-102117.67547239999</v>
      </c>
      <c r="J53" s="1">
        <f t="shared" si="7"/>
        <v>195317.23924364956</v>
      </c>
      <c r="K53" s="1">
        <f t="shared" si="8"/>
        <v>79162.07706545116</v>
      </c>
      <c r="L53" s="1">
        <f>(B$19-SUM(H$19:H52))*E$11</f>
        <v>-17636.904226666724</v>
      </c>
      <c r="M53" s="1">
        <f t="shared" si="9"/>
        <v>257904.1014289384</v>
      </c>
      <c r="N53">
        <f>N52*(1/(1+'Cost of Capital'!E$21))</f>
        <v>0.09574601218098094</v>
      </c>
      <c r="O53" s="4">
        <f t="shared" si="10"/>
        <v>24693.28923694008</v>
      </c>
      <c r="P53" s="1">
        <f t="shared" si="14"/>
        <v>6993954</v>
      </c>
      <c r="Q53" s="1">
        <f t="shared" si="11"/>
        <v>669643.2048772204</v>
      </c>
      <c r="S53" s="1">
        <f t="shared" si="17"/>
        <v>50000</v>
      </c>
      <c r="T53" s="1">
        <f t="shared" si="1"/>
        <v>4787.300609049047</v>
      </c>
      <c r="U53">
        <f t="shared" si="15"/>
        <v>35</v>
      </c>
      <c r="V53" s="30">
        <f t="shared" si="2"/>
        <v>-207904.1014289384</v>
      </c>
      <c r="W53" s="30">
        <f t="shared" si="3"/>
        <v>-19905.988627891034</v>
      </c>
    </row>
    <row r="54" spans="1:23" ht="12.75" hidden="1">
      <c r="A54">
        <f t="shared" si="12"/>
        <v>36</v>
      </c>
      <c r="B54" s="1">
        <f t="shared" si="13"/>
        <v>-748577.7899184992</v>
      </c>
      <c r="C54" s="1">
        <f t="shared" si="4"/>
        <v>-898415.8891127658</v>
      </c>
      <c r="D54" s="1">
        <f t="shared" si="5"/>
        <v>-823496.8395156325</v>
      </c>
      <c r="E54" s="1">
        <f>D54*SUM('Cost of Capital'!E$17:E$17)</f>
        <v>-26763.647284258055</v>
      </c>
      <c r="F54" s="1">
        <f>D54*'Cost of Capital'!E$16</f>
        <v>-41174.84197578163</v>
      </c>
      <c r="G54" s="1">
        <v>0</v>
      </c>
      <c r="H54" s="1">
        <f t="shared" si="6"/>
        <v>251955.77466666666</v>
      </c>
      <c r="I54" s="2">
        <f t="shared" si="0"/>
        <v>-102117.67547239999</v>
      </c>
      <c r="J54" s="1">
        <f t="shared" si="7"/>
        <v>182719.4505103162</v>
      </c>
      <c r="K54" s="1">
        <f t="shared" si="8"/>
        <v>74056.19329183116</v>
      </c>
      <c r="L54" s="1">
        <f>(B$19-SUM(H$19:H53))*E$11</f>
        <v>-22046.130283333398</v>
      </c>
      <c r="M54" s="1">
        <f t="shared" si="9"/>
        <v>236027.34841512478</v>
      </c>
      <c r="N54">
        <f>N53*(1/(1+'Cost of Capital'!E$21))</f>
        <v>0.08953850882573743</v>
      </c>
      <c r="O54" s="4">
        <f t="shared" si="10"/>
        <v>21133.536819183053</v>
      </c>
      <c r="P54" s="1">
        <f t="shared" si="14"/>
        <v>6993954</v>
      </c>
      <c r="Q54" s="1">
        <f t="shared" si="11"/>
        <v>626228.2119558016</v>
      </c>
      <c r="S54" s="1">
        <f t="shared" si="17"/>
        <v>50000</v>
      </c>
      <c r="T54" s="1">
        <f t="shared" si="1"/>
        <v>4476.925441286871</v>
      </c>
      <c r="U54">
        <f t="shared" si="15"/>
        <v>36</v>
      </c>
      <c r="V54" s="30">
        <f t="shared" si="2"/>
        <v>-186027.34841512478</v>
      </c>
      <c r="W54" s="30">
        <f t="shared" si="3"/>
        <v>-16656.61137789618</v>
      </c>
    </row>
    <row r="55" spans="1:23" ht="12.75" hidden="1">
      <c r="A55">
        <f t="shared" si="12"/>
        <v>37</v>
      </c>
      <c r="B55" s="1">
        <f t="shared" si="13"/>
        <v>-898415.8891127658</v>
      </c>
      <c r="C55" s="1">
        <f t="shared" si="4"/>
        <v>-1048253.9883070324</v>
      </c>
      <c r="D55" s="1">
        <f t="shared" si="5"/>
        <v>-973334.9387098991</v>
      </c>
      <c r="E55" s="1">
        <f>D55*SUM('Cost of Capital'!E$17:E$17)</f>
        <v>-31633.385508071722</v>
      </c>
      <c r="F55" s="1">
        <f>D55*'Cost of Capital'!E$16</f>
        <v>-48666.74693549496</v>
      </c>
      <c r="G55" s="1">
        <v>0</v>
      </c>
      <c r="H55" s="1">
        <f t="shared" si="6"/>
        <v>251955.77466666666</v>
      </c>
      <c r="I55" s="2">
        <f t="shared" si="0"/>
        <v>-102117.67547239999</v>
      </c>
      <c r="J55" s="1">
        <f t="shared" si="7"/>
        <v>170121.66177698286</v>
      </c>
      <c r="K55" s="1">
        <f t="shared" si="8"/>
        <v>68950.30951821116</v>
      </c>
      <c r="L55" s="1">
        <f>(B$19-SUM(H$19:H54))*E$11</f>
        <v>-26455.356340000068</v>
      </c>
      <c r="M55" s="1">
        <f t="shared" si="9"/>
        <v>214150.59540131112</v>
      </c>
      <c r="N55">
        <f>N54*(1/(1+'Cost of Capital'!E$21))</f>
        <v>0.08373345667475424</v>
      </c>
      <c r="O55" s="4">
        <f t="shared" si="10"/>
        <v>17931.569601908508</v>
      </c>
      <c r="P55" s="1">
        <f t="shared" si="14"/>
        <v>6993954</v>
      </c>
      <c r="Q55" s="1">
        <f t="shared" si="11"/>
        <v>585627.9442442241</v>
      </c>
      <c r="S55" s="1">
        <f t="shared" si="17"/>
        <v>50000</v>
      </c>
      <c r="T55" s="1">
        <f t="shared" si="1"/>
        <v>4186.672833737712</v>
      </c>
      <c r="U55">
        <f t="shared" si="15"/>
        <v>37</v>
      </c>
      <c r="V55" s="30">
        <f t="shared" si="2"/>
        <v>-164150.59540131112</v>
      </c>
      <c r="W55" s="30">
        <f t="shared" si="3"/>
        <v>-13744.896768170796</v>
      </c>
    </row>
    <row r="56" spans="1:23" ht="12.75" hidden="1">
      <c r="A56">
        <f t="shared" si="12"/>
        <v>38</v>
      </c>
      <c r="B56" s="1">
        <f t="shared" si="13"/>
        <v>-1048253.9883070324</v>
      </c>
      <c r="C56" s="1">
        <f t="shared" si="4"/>
        <v>-1198092.087501299</v>
      </c>
      <c r="D56" s="1">
        <f t="shared" si="5"/>
        <v>-1123173.0379041657</v>
      </c>
      <c r="E56" s="1">
        <f>D56*SUM('Cost of Capital'!E$17:E$17)</f>
        <v>-36503.12373188539</v>
      </c>
      <c r="F56" s="1">
        <f>D56*'Cost of Capital'!E$16</f>
        <v>-56158.651895208284</v>
      </c>
      <c r="G56" s="1">
        <v>0</v>
      </c>
      <c r="H56" s="1">
        <f t="shared" si="6"/>
        <v>251955.77466666666</v>
      </c>
      <c r="I56" s="2">
        <f t="shared" si="0"/>
        <v>-102117.67547239999</v>
      </c>
      <c r="J56" s="1">
        <f t="shared" si="7"/>
        <v>157523.87304364954</v>
      </c>
      <c r="K56" s="1">
        <f t="shared" si="8"/>
        <v>63844.42574459116</v>
      </c>
      <c r="L56" s="1">
        <f>(B$19-SUM(H$19:H55))*E$11</f>
        <v>-30864.58239666674</v>
      </c>
      <c r="M56" s="1">
        <f t="shared" si="9"/>
        <v>192273.8423874974</v>
      </c>
      <c r="N56">
        <f>N55*(1/(1+'Cost of Capital'!E$21))</f>
        <v>0.07830476360007887</v>
      </c>
      <c r="O56" s="4">
        <f t="shared" si="10"/>
        <v>15055.957774631808</v>
      </c>
      <c r="P56" s="1">
        <f t="shared" si="14"/>
        <v>6993954</v>
      </c>
      <c r="Q56" s="1">
        <f t="shared" si="11"/>
        <v>547659.9145998261</v>
      </c>
      <c r="S56" s="1">
        <f t="shared" si="17"/>
        <v>50000</v>
      </c>
      <c r="T56" s="1">
        <f t="shared" si="1"/>
        <v>3915.238180003944</v>
      </c>
      <c r="U56">
        <f t="shared" si="15"/>
        <v>38</v>
      </c>
      <c r="V56" s="30">
        <f t="shared" si="2"/>
        <v>-142273.8423874974</v>
      </c>
      <c r="W56" s="30">
        <f t="shared" si="3"/>
        <v>-11140.719594627864</v>
      </c>
    </row>
    <row r="57" spans="1:23" ht="12.75" hidden="1">
      <c r="A57">
        <f t="shared" si="12"/>
        <v>39</v>
      </c>
      <c r="B57" s="1">
        <f t="shared" si="13"/>
        <v>-1198092.087501299</v>
      </c>
      <c r="C57" s="1">
        <f t="shared" si="4"/>
        <v>-1347930.186695566</v>
      </c>
      <c r="D57" s="1">
        <f t="shared" si="5"/>
        <v>-1273011.1370984325</v>
      </c>
      <c r="E57" s="1">
        <f>D57*SUM('Cost of Capital'!E$17:E$17)</f>
        <v>-41372.86195569906</v>
      </c>
      <c r="F57" s="1">
        <f>D57*'Cost of Capital'!E$16</f>
        <v>-63650.556854921626</v>
      </c>
      <c r="G57" s="1">
        <v>0</v>
      </c>
      <c r="H57" s="1">
        <f t="shared" si="6"/>
        <v>251955.77466666666</v>
      </c>
      <c r="I57" s="2">
        <f t="shared" si="0"/>
        <v>-102117.67547239999</v>
      </c>
      <c r="J57" s="1">
        <f t="shared" si="7"/>
        <v>144926.0843103162</v>
      </c>
      <c r="K57" s="1">
        <f t="shared" si="8"/>
        <v>58738.54197097115</v>
      </c>
      <c r="L57" s="1">
        <f>(B$19-SUM(H$19:H56))*E$11</f>
        <v>-35273.80845333341</v>
      </c>
      <c r="M57" s="1">
        <f t="shared" si="9"/>
        <v>170397.0893736837</v>
      </c>
      <c r="N57">
        <f>N56*(1/(1+'Cost of Capital'!E$21))</f>
        <v>0.07322802910527561</v>
      </c>
      <c r="O57" s="4">
        <f t="shared" si="10"/>
        <v>12477.843020110358</v>
      </c>
      <c r="P57" s="1">
        <f t="shared" si="14"/>
        <v>6993954</v>
      </c>
      <c r="Q57" s="1">
        <f t="shared" si="11"/>
        <v>512153.46707295877</v>
      </c>
      <c r="S57" s="1">
        <f t="shared" si="17"/>
        <v>50000</v>
      </c>
      <c r="T57" s="1">
        <f t="shared" si="1"/>
        <v>3661.4014552637805</v>
      </c>
      <c r="U57">
        <f t="shared" si="15"/>
        <v>39</v>
      </c>
      <c r="V57" s="30">
        <f t="shared" si="2"/>
        <v>-120397.0893736837</v>
      </c>
      <c r="W57" s="30">
        <f t="shared" si="3"/>
        <v>-8816.441564846578</v>
      </c>
    </row>
    <row r="58" spans="1:23" ht="12.75" hidden="1">
      <c r="A58">
        <f t="shared" si="12"/>
        <v>40</v>
      </c>
      <c r="B58" s="1">
        <f t="shared" si="13"/>
        <v>-1347930.186695566</v>
      </c>
      <c r="C58" s="1">
        <f t="shared" si="4"/>
        <v>-1497768.2858898328</v>
      </c>
      <c r="D58" s="1">
        <f t="shared" si="5"/>
        <v>-1422849.2362926994</v>
      </c>
      <c r="E58" s="1">
        <f>D58*SUM('Cost of Capital'!E$17:E$17)</f>
        <v>-46242.60017951273</v>
      </c>
      <c r="F58" s="1">
        <f>D58*'Cost of Capital'!E$16</f>
        <v>-71142.46181463497</v>
      </c>
      <c r="G58" s="1">
        <v>0</v>
      </c>
      <c r="H58" s="1">
        <f t="shared" si="6"/>
        <v>251955.77466666666</v>
      </c>
      <c r="I58" s="2">
        <f t="shared" si="0"/>
        <v>-102117.67547239999</v>
      </c>
      <c r="J58" s="1">
        <f t="shared" si="7"/>
        <v>132328.29557698287</v>
      </c>
      <c r="K58" s="1">
        <f t="shared" si="8"/>
        <v>53632.65819735116</v>
      </c>
      <c r="L58" s="1">
        <f>(B$19-SUM(H$19:H57))*E$11</f>
        <v>-39683.034510000085</v>
      </c>
      <c r="M58" s="1">
        <f t="shared" si="9"/>
        <v>148520.33635987004</v>
      </c>
      <c r="N58">
        <f>N57*(1/(1+'Cost of Capital'!E$21))</f>
        <v>0.06848043465184141</v>
      </c>
      <c r="O58" s="4">
        <f t="shared" si="10"/>
        <v>10170.737188561585</v>
      </c>
      <c r="P58" s="1">
        <f t="shared" si="14"/>
        <v>6993954</v>
      </c>
      <c r="Q58" s="1">
        <f t="shared" si="11"/>
        <v>478949.0098549848</v>
      </c>
      <c r="S58" s="1">
        <f t="shared" si="17"/>
        <v>50000</v>
      </c>
      <c r="T58" s="1">
        <f t="shared" si="1"/>
        <v>3424.0217325920703</v>
      </c>
      <c r="U58">
        <f t="shared" si="15"/>
        <v>40</v>
      </c>
      <c r="V58" s="30">
        <f t="shared" si="2"/>
        <v>-98520.33635987004</v>
      </c>
      <c r="W58" s="30">
        <f t="shared" si="3"/>
        <v>-6746.715455969515</v>
      </c>
    </row>
    <row r="59" spans="12:23" ht="12.75">
      <c r="L59" s="1"/>
      <c r="M59" s="1"/>
      <c r="S59" s="1"/>
      <c r="T59" s="1"/>
      <c r="V59" s="30"/>
      <c r="W59" s="30"/>
    </row>
    <row r="60" spans="5:23" ht="12.75">
      <c r="E60" s="1">
        <f>SUM(E19:E48)</f>
        <v>3154222.956855598</v>
      </c>
      <c r="F60" s="1">
        <f>SUM(F19:F48)</f>
        <v>4852650.702854766</v>
      </c>
      <c r="G60" s="1">
        <f>SUM(G19:G48)</f>
        <v>7557161.505351996</v>
      </c>
      <c r="H60" s="1">
        <f>SUM(H19:H48)</f>
        <v>7558673.240000003</v>
      </c>
      <c r="I60" s="2">
        <f>SUM(I19:I48)</f>
        <v>-612.7060528338479</v>
      </c>
      <c r="K60" s="1">
        <f>SUM(K19:K48)</f>
        <v>3307791.670012876</v>
      </c>
      <c r="L60" s="1">
        <f>SUM(L19:L48)</f>
        <v>2050290.11635</v>
      </c>
      <c r="M60" s="1">
        <f>SUM(M19:M48)</f>
        <v>20923628.686073236</v>
      </c>
      <c r="O60" s="1">
        <f>SUM(O19:O48)</f>
        <v>10401272.97941009</v>
      </c>
      <c r="P60" s="1">
        <v>6993954</v>
      </c>
      <c r="Q60" s="1">
        <f>SUM(Q19:Q58)</f>
        <v>93973985.74373198</v>
      </c>
      <c r="S60" s="1">
        <f>SUM(S19:S48)</f>
        <v>20535000</v>
      </c>
      <c r="T60" s="1">
        <f>SUM(T19:T48)</f>
        <v>10837381.976054117</v>
      </c>
      <c r="U60" s="1">
        <f>SUM(U19:U48)</f>
        <v>465</v>
      </c>
      <c r="V60" s="2">
        <f>SUM(V19:V48)</f>
        <v>-388628.6860732374</v>
      </c>
      <c r="W60" s="1">
        <f>SUM(W19:W48)</f>
        <v>436108.9966440286</v>
      </c>
    </row>
    <row r="61" ht="12.75">
      <c r="M61" s="3"/>
    </row>
  </sheetData>
  <sheetProtection/>
  <mergeCells count="4">
    <mergeCell ref="C3:W3"/>
    <mergeCell ref="M15:O15"/>
    <mergeCell ref="S15:T15"/>
    <mergeCell ref="C4:W4"/>
  </mergeCells>
  <printOptions/>
  <pageMargins left="0.25" right="0.25" top="0.25" bottom="0.25" header="0.5" footer="0.5"/>
  <pageSetup fitToHeight="1" fitToWidth="1" horizontalDpi="600" verticalDpi="600" orientation="landscape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8515625" style="0" bestFit="1" customWidth="1"/>
    <col min="2" max="3" width="11.140625" style="0" bestFit="1" customWidth="1"/>
    <col min="4" max="6" width="11.140625" style="0" customWidth="1"/>
    <col min="7" max="7" width="11.57421875" style="0" customWidth="1"/>
    <col min="8" max="8" width="11.28125" style="0" customWidth="1"/>
    <col min="9" max="9" width="12.00390625" style="0" customWidth="1"/>
    <col min="10" max="11" width="10.421875" style="0" customWidth="1"/>
    <col min="12" max="12" width="11.140625" style="0" customWidth="1"/>
    <col min="13" max="13" width="12.57421875" style="0" customWidth="1"/>
    <col min="14" max="14" width="12.28125" style="0" hidden="1" customWidth="1"/>
    <col min="15" max="15" width="12.7109375" style="0" bestFit="1" customWidth="1"/>
    <col min="16" max="16" width="13.8515625" style="0" hidden="1" customWidth="1"/>
    <col min="17" max="17" width="11.140625" style="0" hidden="1" customWidth="1"/>
    <col min="18" max="18" width="4.7109375" style="0" customWidth="1"/>
    <col min="19" max="20" width="11.7109375" style="0" bestFit="1" customWidth="1"/>
    <col min="21" max="21" width="11.7109375" style="0" hidden="1" customWidth="1"/>
    <col min="22" max="23" width="11.7109375" style="0" bestFit="1" customWidth="1"/>
  </cols>
  <sheetData>
    <row r="1" ht="12.75">
      <c r="W1" s="24" t="s">
        <v>62</v>
      </c>
    </row>
    <row r="2" ht="12.75">
      <c r="W2" s="24" t="s">
        <v>77</v>
      </c>
    </row>
    <row r="3" spans="1:23" ht="12.75">
      <c r="A3" s="32" t="s">
        <v>86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</row>
    <row r="4" spans="1:23" ht="12.75">
      <c r="A4" s="32" t="s">
        <v>83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</row>
    <row r="5" spans="2:5" ht="12.75">
      <c r="B5" t="s">
        <v>36</v>
      </c>
      <c r="E5" s="1">
        <v>65082300</v>
      </c>
    </row>
    <row r="6" spans="2:5" ht="13.5" customHeight="1">
      <c r="B6" t="s">
        <v>37</v>
      </c>
      <c r="E6" s="6">
        <v>10625000</v>
      </c>
    </row>
    <row r="7" ht="13.5" customHeight="1">
      <c r="E7" s="7">
        <f>+E5-E6</f>
        <v>54457300</v>
      </c>
    </row>
    <row r="8" spans="2:17" ht="13.5" customHeight="1">
      <c r="B8" t="s">
        <v>38</v>
      </c>
      <c r="E8" s="8">
        <v>0.1388</v>
      </c>
      <c r="N8" s="23" t="s">
        <v>61</v>
      </c>
      <c r="Q8" t="s">
        <v>61</v>
      </c>
    </row>
    <row r="9" spans="2:17" ht="12.75">
      <c r="B9" t="s">
        <v>39</v>
      </c>
      <c r="E9" s="1">
        <f>+E7*E8</f>
        <v>7558673.24</v>
      </c>
      <c r="N9" s="25" t="s">
        <v>27</v>
      </c>
      <c r="Q9" t="s">
        <v>27</v>
      </c>
    </row>
    <row r="10" spans="2:18" ht="12.75">
      <c r="B10" s="5" t="s">
        <v>31</v>
      </c>
      <c r="C10" s="5"/>
      <c r="D10" s="5"/>
      <c r="E10" s="27">
        <v>50</v>
      </c>
      <c r="F10" s="1" t="s">
        <v>71</v>
      </c>
      <c r="M10" t="s">
        <v>64</v>
      </c>
      <c r="N10" s="1">
        <f>+S33</f>
        <v>1215000</v>
      </c>
      <c r="O10" s="1">
        <f>+Q10-Q11</f>
        <v>967000</v>
      </c>
      <c r="Q10" s="1">
        <f>+S33</f>
        <v>1215000</v>
      </c>
      <c r="R10" t="s">
        <v>67</v>
      </c>
    </row>
    <row r="11" spans="2:18" ht="12.75">
      <c r="B11" t="s">
        <v>35</v>
      </c>
      <c r="C11" s="1"/>
      <c r="D11" s="1"/>
      <c r="E11" s="3">
        <v>0.0175</v>
      </c>
      <c r="F11" s="1" t="s">
        <v>34</v>
      </c>
      <c r="M11" t="s">
        <v>65</v>
      </c>
      <c r="N11" s="1">
        <f>+S34</f>
        <v>248000</v>
      </c>
      <c r="O11" s="3">
        <f>+O10/Q10</f>
        <v>0.7958847736625514</v>
      </c>
      <c r="Q11" s="1">
        <f>+S34</f>
        <v>248000</v>
      </c>
      <c r="R11" t="s">
        <v>68</v>
      </c>
    </row>
    <row r="12" spans="2:18" ht="12.75">
      <c r="B12" t="s">
        <v>29</v>
      </c>
      <c r="C12" s="1"/>
      <c r="D12" s="1"/>
      <c r="E12" s="3">
        <v>0.02</v>
      </c>
      <c r="F12" s="1"/>
      <c r="M12" t="s">
        <v>66</v>
      </c>
      <c r="N12" s="1">
        <f>+S49</f>
        <v>50000</v>
      </c>
      <c r="O12" s="1">
        <f>+Q11*O11</f>
        <v>197379.42386831273</v>
      </c>
      <c r="Q12" s="1">
        <f>+S49</f>
        <v>50000</v>
      </c>
      <c r="R12" s="26" t="s">
        <v>69</v>
      </c>
    </row>
    <row r="13" spans="2:6" ht="12.75">
      <c r="B13" t="s">
        <v>30</v>
      </c>
      <c r="C13" s="1"/>
      <c r="D13" s="1"/>
      <c r="E13" s="3">
        <v>0.4053</v>
      </c>
      <c r="F13" s="1"/>
    </row>
    <row r="14" spans="2:6" ht="12.75">
      <c r="B14" s="5" t="s">
        <v>70</v>
      </c>
      <c r="C14" s="28"/>
      <c r="D14" s="28"/>
      <c r="E14" s="29">
        <v>0.1</v>
      </c>
      <c r="F14" s="3"/>
    </row>
    <row r="15" spans="3:23" ht="12.75">
      <c r="C15" s="1"/>
      <c r="D15" s="1"/>
      <c r="E15" s="3"/>
      <c r="F15" s="1"/>
      <c r="M15" s="33" t="s">
        <v>79</v>
      </c>
      <c r="N15" s="33"/>
      <c r="O15" s="33"/>
      <c r="S15" s="33" t="s">
        <v>80</v>
      </c>
      <c r="T15" s="33"/>
      <c r="V15" s="23" t="s">
        <v>74</v>
      </c>
      <c r="W15" s="23" t="s">
        <v>73</v>
      </c>
    </row>
    <row r="16" spans="1:23" ht="12.75">
      <c r="A16" t="s">
        <v>6</v>
      </c>
      <c r="B16" t="s">
        <v>3</v>
      </c>
      <c r="C16" t="s">
        <v>3</v>
      </c>
      <c r="D16" t="s">
        <v>3</v>
      </c>
      <c r="E16" t="s">
        <v>10</v>
      </c>
      <c r="F16" t="s">
        <v>10</v>
      </c>
      <c r="G16" t="s">
        <v>2</v>
      </c>
      <c r="H16" t="s">
        <v>0</v>
      </c>
      <c r="I16" t="s">
        <v>5</v>
      </c>
      <c r="J16" t="s">
        <v>17</v>
      </c>
      <c r="K16" t="s">
        <v>18</v>
      </c>
      <c r="L16" t="s">
        <v>12</v>
      </c>
      <c r="M16" t="s">
        <v>14</v>
      </c>
      <c r="N16" t="s">
        <v>24</v>
      </c>
      <c r="O16" t="s">
        <v>24</v>
      </c>
      <c r="P16" t="s">
        <v>26</v>
      </c>
      <c r="Q16" t="s">
        <v>24</v>
      </c>
      <c r="S16" t="s">
        <v>14</v>
      </c>
      <c r="T16" t="s">
        <v>24</v>
      </c>
      <c r="V16" s="23" t="s">
        <v>72</v>
      </c>
      <c r="W16" s="23" t="s">
        <v>72</v>
      </c>
    </row>
    <row r="17" spans="2:23" ht="12.75">
      <c r="B17" t="s">
        <v>7</v>
      </c>
      <c r="C17" t="s">
        <v>4</v>
      </c>
      <c r="D17" t="s">
        <v>13</v>
      </c>
      <c r="E17" s="1" t="s">
        <v>11</v>
      </c>
      <c r="F17" s="1" t="s">
        <v>9</v>
      </c>
      <c r="G17" s="1" t="s">
        <v>1</v>
      </c>
      <c r="H17" s="1" t="s">
        <v>1</v>
      </c>
      <c r="I17" s="1" t="s">
        <v>2</v>
      </c>
      <c r="J17" s="1" t="s">
        <v>16</v>
      </c>
      <c r="K17" s="1" t="s">
        <v>19</v>
      </c>
      <c r="L17" s="1" t="s">
        <v>2</v>
      </c>
      <c r="M17" s="1" t="s">
        <v>15</v>
      </c>
      <c r="N17" s="1" t="s">
        <v>25</v>
      </c>
      <c r="O17" s="1" t="s">
        <v>15</v>
      </c>
      <c r="P17" s="1" t="s">
        <v>27</v>
      </c>
      <c r="Q17" s="1" t="s">
        <v>28</v>
      </c>
      <c r="S17" s="1" t="s">
        <v>63</v>
      </c>
      <c r="T17" s="1" t="s">
        <v>15</v>
      </c>
      <c r="V17" s="23" t="s">
        <v>63</v>
      </c>
      <c r="W17" s="23" t="s">
        <v>63</v>
      </c>
    </row>
    <row r="18" spans="3:11" ht="12.75">
      <c r="C18" s="1"/>
      <c r="D18" s="1"/>
      <c r="E18" s="1"/>
      <c r="F18" s="1"/>
      <c r="G18" s="1"/>
      <c r="H18" s="1"/>
      <c r="I18" s="1"/>
      <c r="J18" s="1"/>
      <c r="K18" s="1"/>
    </row>
    <row r="19" spans="1:23" ht="12.75">
      <c r="A19">
        <v>1</v>
      </c>
      <c r="B19" s="1">
        <f>E9</f>
        <v>7558673.24</v>
      </c>
      <c r="C19" s="1">
        <f>E$9-H19-I19</f>
        <v>7353887.99557699</v>
      </c>
      <c r="D19" s="1">
        <f aca="true" t="shared" si="0" ref="D19:D58">AVERAGE(B19:C19)</f>
        <v>7456280.6177884955</v>
      </c>
      <c r="E19" s="1">
        <f>D19*SUM('Cost of Capital'!E$17:E$17)</f>
        <v>242329.1200781261</v>
      </c>
      <c r="F19" s="1">
        <f>D19*'Cost of Capital'!E$16</f>
        <v>372814.0308894248</v>
      </c>
      <c r="G19" s="1">
        <f>B$19*0.0375</f>
        <v>283450.2465</v>
      </c>
      <c r="H19" s="1">
        <f aca="true" t="shared" si="1" ref="H19:H58">E$9/E$10</f>
        <v>151173.46480000002</v>
      </c>
      <c r="I19" s="2">
        <f aca="true" t="shared" si="2" ref="I19:I58">(G19-H19)*E$13</f>
        <v>53611.77962301</v>
      </c>
      <c r="J19" s="1">
        <f aca="true" t="shared" si="3" ref="J19:J58">(+F19+H19-G19+I19)/(1-E$13)</f>
        <v>494617.5026272655</v>
      </c>
      <c r="K19" s="1">
        <f aca="true" t="shared" si="4" ref="K19:K58">J19*E$13</f>
        <v>200468.4738148307</v>
      </c>
      <c r="L19" s="1">
        <f>(B$19-SUM(H18))*E$11</f>
        <v>132276.78170000002</v>
      </c>
      <c r="M19" s="1">
        <f aca="true" t="shared" si="5" ref="M19:M58">SUM(E19:F19,H19,K19:L19)</f>
        <v>1099061.8712823815</v>
      </c>
      <c r="N19">
        <f>1/(1+'Cost of Capital'!E21)</f>
        <v>0.9351669775707214</v>
      </c>
      <c r="O19" s="4">
        <f aca="true" t="shared" si="6" ref="O19:O58">M19*N19</f>
        <v>1027806.368330366</v>
      </c>
      <c r="P19" s="1">
        <f>P70</f>
        <v>6993954</v>
      </c>
      <c r="Q19" s="1">
        <f aca="true" t="shared" si="7" ref="Q19:Q58">P19*N19</f>
        <v>6540514.823448657</v>
      </c>
      <c r="S19" s="1">
        <v>983000</v>
      </c>
      <c r="T19" s="1">
        <f>+S19*N19</f>
        <v>919269.1389520192</v>
      </c>
      <c r="U19">
        <v>1</v>
      </c>
      <c r="V19" s="30">
        <f>+S19-M19</f>
        <v>-116061.87128238147</v>
      </c>
      <c r="W19" s="30">
        <f>+T19-O19</f>
        <v>-108537.22937834682</v>
      </c>
    </row>
    <row r="20" spans="1:23" ht="12.75">
      <c r="A20">
        <f aca="true" t="shared" si="8" ref="A20:A68">A19+1</f>
        <v>2</v>
      </c>
      <c r="B20" s="1">
        <f aca="true" t="shared" si="9" ref="B20:B58">C19</f>
        <v>7353887.99557699</v>
      </c>
      <c r="C20" s="1">
        <f aca="true" t="shared" si="10" ref="C20:C58">C19-H20-I20</f>
        <v>7042798.250987211</v>
      </c>
      <c r="D20" s="1">
        <f t="shared" si="0"/>
        <v>7198343.123282101</v>
      </c>
      <c r="E20" s="1">
        <f>D20*SUM('Cost of Capital'!E$17:E$17)</f>
        <v>233946.15150666828</v>
      </c>
      <c r="F20" s="1">
        <f>D20*'Cost of Capital'!E$16</f>
        <v>359917.15616410505</v>
      </c>
      <c r="G20" s="1">
        <f>B$19*0.0722</f>
        <v>545736.207928</v>
      </c>
      <c r="H20" s="1">
        <f t="shared" si="1"/>
        <v>151173.46480000002</v>
      </c>
      <c r="I20" s="2">
        <f t="shared" si="2"/>
        <v>159916.2797897784</v>
      </c>
      <c r="J20" s="1">
        <f t="shared" si="3"/>
        <v>210645.18719671003</v>
      </c>
      <c r="K20" s="1">
        <f t="shared" si="4"/>
        <v>85374.49437082658</v>
      </c>
      <c r="L20" s="1">
        <f>(B$19-SUM(H19))*E$11</f>
        <v>129631.246066</v>
      </c>
      <c r="M20" s="1">
        <f t="shared" si="5"/>
        <v>960042.5129075999</v>
      </c>
      <c r="N20">
        <f>N19*(1/(1+'Cost of Capital'!E$21))</f>
        <v>0.8745372759387582</v>
      </c>
      <c r="O20" s="4">
        <f t="shared" si="6"/>
        <v>839592.9640236126</v>
      </c>
      <c r="P20" s="1">
        <f aca="true" t="shared" si="11" ref="P20:P68">P19</f>
        <v>6993954</v>
      </c>
      <c r="Q20" s="1">
        <f t="shared" si="7"/>
        <v>6116473.479200982</v>
      </c>
      <c r="S20" s="1">
        <v>983000</v>
      </c>
      <c r="T20" s="1">
        <f aca="true" t="shared" si="12" ref="T20:T58">+S20*N20</f>
        <v>859670.1422477993</v>
      </c>
      <c r="U20">
        <f>U19+1</f>
        <v>2</v>
      </c>
      <c r="V20" s="30">
        <f aca="true" t="shared" si="13" ref="V20:V68">+S20-M20</f>
        <v>22957.487092400086</v>
      </c>
      <c r="W20" s="30">
        <f aca="true" t="shared" si="14" ref="W20:W68">+T20-O20</f>
        <v>20077.178224186762</v>
      </c>
    </row>
    <row r="21" spans="1:23" ht="12.75">
      <c r="A21">
        <f t="shared" si="8"/>
        <v>3</v>
      </c>
      <c r="B21" s="1">
        <f t="shared" si="9"/>
        <v>7042798.250987211</v>
      </c>
      <c r="C21" s="1">
        <f t="shared" si="10"/>
        <v>6748251.569823962</v>
      </c>
      <c r="D21" s="1">
        <f t="shared" si="0"/>
        <v>6895524.9104055865</v>
      </c>
      <c r="E21" s="1">
        <f>D21*SUM('Cost of Capital'!E$17:E$17)</f>
        <v>224104.55958818158</v>
      </c>
      <c r="F21" s="1">
        <f>D21*'Cost of Capital'!E$16</f>
        <v>344776.24552027934</v>
      </c>
      <c r="G21" s="1">
        <f>B$19*0.0668</f>
        <v>504919.372432</v>
      </c>
      <c r="H21" s="1">
        <f t="shared" si="1"/>
        <v>151173.46480000002</v>
      </c>
      <c r="I21" s="2">
        <f t="shared" si="2"/>
        <v>143373.21636324958</v>
      </c>
      <c r="J21" s="1">
        <f t="shared" si="3"/>
        <v>226002.27720115843</v>
      </c>
      <c r="K21" s="1">
        <f t="shared" si="4"/>
        <v>91598.7229496295</v>
      </c>
      <c r="L21" s="1">
        <f>(B$19-SUM(H$19:H20))*E$11</f>
        <v>126985.710432</v>
      </c>
      <c r="M21" s="1">
        <f t="shared" si="5"/>
        <v>938638.7032900905</v>
      </c>
      <c r="N21">
        <f>N20*(1/(1+'Cost of Capital'!E$21))</f>
        <v>0.8178383811125804</v>
      </c>
      <c r="O21" s="4">
        <f t="shared" si="6"/>
        <v>767654.7575483794</v>
      </c>
      <c r="P21" s="1">
        <f t="shared" si="11"/>
        <v>6993954</v>
      </c>
      <c r="Q21" s="1">
        <f t="shared" si="7"/>
        <v>5719924.016935856</v>
      </c>
      <c r="S21" s="1">
        <v>995000</v>
      </c>
      <c r="T21" s="1">
        <f t="shared" si="12"/>
        <v>813749.1892070175</v>
      </c>
      <c r="U21">
        <f aca="true" t="shared" si="15" ref="U21:U68">U20+1</f>
        <v>3</v>
      </c>
      <c r="V21" s="30">
        <f t="shared" si="13"/>
        <v>56361.29670990945</v>
      </c>
      <c r="W21" s="30">
        <f t="shared" si="14"/>
        <v>46094.431658638176</v>
      </c>
    </row>
    <row r="22" spans="1:23" ht="12.75">
      <c r="A22">
        <f t="shared" si="8"/>
        <v>4</v>
      </c>
      <c r="B22" s="1">
        <f t="shared" si="9"/>
        <v>6748251.569823962</v>
      </c>
      <c r="C22" s="1">
        <f t="shared" si="10"/>
        <v>6469022.539981572</v>
      </c>
      <c r="D22" s="1">
        <f t="shared" si="0"/>
        <v>6608637.054902767</v>
      </c>
      <c r="E22" s="1">
        <f>D22*SUM('Cost of Capital'!E$17:E$17)</f>
        <v>214780.70428433994</v>
      </c>
      <c r="F22" s="1">
        <f>D22*'Cost of Capital'!E$16</f>
        <v>330431.85274513834</v>
      </c>
      <c r="G22" s="1">
        <f>B$19*0.0618</f>
        <v>467126.006232</v>
      </c>
      <c r="H22" s="1">
        <f t="shared" si="1"/>
        <v>151173.46480000002</v>
      </c>
      <c r="I22" s="2">
        <f t="shared" si="2"/>
        <v>128055.5650423896</v>
      </c>
      <c r="J22" s="1">
        <f t="shared" si="3"/>
        <v>239675.25871116185</v>
      </c>
      <c r="K22" s="1">
        <f t="shared" si="4"/>
        <v>97140.38235563389</v>
      </c>
      <c r="L22" s="1">
        <f>(B$19-SUM(H$19:H21))*E$11</f>
        <v>124340.17479800002</v>
      </c>
      <c r="M22" s="1">
        <f t="shared" si="5"/>
        <v>917866.5789831121</v>
      </c>
      <c r="N22">
        <f>N21*(1/(1+'Cost of Capital'!E$21))</f>
        <v>0.7648154470063836</v>
      </c>
      <c r="O22" s="4">
        <f t="shared" si="6"/>
        <v>701998.537897189</v>
      </c>
      <c r="P22" s="1">
        <f t="shared" si="11"/>
        <v>6993954</v>
      </c>
      <c r="Q22" s="1">
        <f t="shared" si="7"/>
        <v>5349084.054852084</v>
      </c>
      <c r="S22" s="1">
        <v>1006000</v>
      </c>
      <c r="T22" s="1">
        <f t="shared" si="12"/>
        <v>769404.3396884219</v>
      </c>
      <c r="U22">
        <f t="shared" si="15"/>
        <v>4</v>
      </c>
      <c r="V22" s="30">
        <f t="shared" si="13"/>
        <v>88133.42101688788</v>
      </c>
      <c r="W22" s="30">
        <f t="shared" si="14"/>
        <v>67405.8017912329</v>
      </c>
    </row>
    <row r="23" spans="1:23" ht="12.75">
      <c r="A23">
        <f t="shared" si="8"/>
        <v>5</v>
      </c>
      <c r="B23" s="1">
        <f t="shared" si="9"/>
        <v>6469022.539981572</v>
      </c>
      <c r="C23" s="1">
        <f t="shared" si="10"/>
        <v>6204192.102380791</v>
      </c>
      <c r="D23" s="1">
        <f t="shared" si="0"/>
        <v>6336607.321181182</v>
      </c>
      <c r="E23" s="1">
        <f>D23*SUM('Cost of Capital'!E$17:E$17)</f>
        <v>205939.73793838843</v>
      </c>
      <c r="F23" s="1">
        <f>D23*'Cost of Capital'!E$16</f>
        <v>316830.3660590591</v>
      </c>
      <c r="G23" s="1">
        <f>B$19*0.0571</f>
        <v>431600.242004</v>
      </c>
      <c r="H23" s="1">
        <f t="shared" si="1"/>
        <v>151173.46480000002</v>
      </c>
      <c r="I23" s="2">
        <f t="shared" si="2"/>
        <v>113656.9728007812</v>
      </c>
      <c r="J23" s="1">
        <f t="shared" si="3"/>
        <v>252329.84976600017</v>
      </c>
      <c r="K23" s="1">
        <f t="shared" si="4"/>
        <v>102269.28811015988</v>
      </c>
      <c r="L23" s="1">
        <f>(B$19-SUM(H$19:H22))*E$11</f>
        <v>121694.63916400002</v>
      </c>
      <c r="M23" s="1">
        <f t="shared" si="5"/>
        <v>897907.4960716075</v>
      </c>
      <c r="N23">
        <f>N22*(1/(1+'Cost of Capital'!E$21))</f>
        <v>0.71523014997636</v>
      </c>
      <c r="O23" s="4">
        <f t="shared" si="6"/>
        <v>642210.5130801937</v>
      </c>
      <c r="P23" s="1">
        <f t="shared" si="11"/>
        <v>6993954</v>
      </c>
      <c r="Q23" s="1">
        <f t="shared" si="7"/>
        <v>5002286.768347763</v>
      </c>
      <c r="S23" s="1">
        <v>1022000</v>
      </c>
      <c r="T23" s="1">
        <f t="shared" si="12"/>
        <v>730965.2132758399</v>
      </c>
      <c r="U23">
        <f t="shared" si="15"/>
        <v>5</v>
      </c>
      <c r="V23" s="30">
        <f t="shared" si="13"/>
        <v>124092.50392839254</v>
      </c>
      <c r="W23" s="30">
        <f t="shared" si="14"/>
        <v>88754.70019564626</v>
      </c>
    </row>
    <row r="24" spans="1:23" ht="12.75">
      <c r="A24">
        <f t="shared" si="8"/>
        <v>6</v>
      </c>
      <c r="B24" s="1">
        <f t="shared" si="9"/>
        <v>6204192.102380791</v>
      </c>
      <c r="C24" s="1">
        <f t="shared" si="10"/>
        <v>5952534.844915949</v>
      </c>
      <c r="D24" s="1">
        <f t="shared" si="0"/>
        <v>6078363.473648369</v>
      </c>
      <c r="E24" s="1">
        <f>D24*SUM('Cost of Capital'!E$17:E$17)</f>
        <v>197546.812893572</v>
      </c>
      <c r="F24" s="1">
        <f>D24*'Cost of Capital'!E$16</f>
        <v>303918.1736824185</v>
      </c>
      <c r="G24" s="1">
        <f>B$19*0.0528</f>
        <v>399097.947072</v>
      </c>
      <c r="H24" s="1">
        <f t="shared" si="1"/>
        <v>151173.46480000002</v>
      </c>
      <c r="I24" s="2">
        <f t="shared" si="2"/>
        <v>100483.79266484159</v>
      </c>
      <c r="J24" s="1">
        <f t="shared" si="3"/>
        <v>263120.0337569532</v>
      </c>
      <c r="K24" s="1">
        <f t="shared" si="4"/>
        <v>106642.54968169313</v>
      </c>
      <c r="L24" s="1">
        <f>(B$19-SUM(H$19:H23))*E$11</f>
        <v>119049.10353000001</v>
      </c>
      <c r="M24" s="1">
        <f t="shared" si="5"/>
        <v>878330.1045876835</v>
      </c>
      <c r="N24">
        <f>N23*(1/(1+'Cost of Capital'!E$21))</f>
        <v>0.6688596176208464</v>
      </c>
      <c r="O24" s="4">
        <f t="shared" si="6"/>
        <v>587479.537899396</v>
      </c>
      <c r="P24" s="1">
        <f t="shared" si="11"/>
        <v>6993954</v>
      </c>
      <c r="Q24" s="1">
        <f t="shared" si="7"/>
        <v>4677973.39809779</v>
      </c>
      <c r="S24" s="1">
        <v>1045000</v>
      </c>
      <c r="T24" s="1">
        <f t="shared" si="12"/>
        <v>698958.3004137846</v>
      </c>
      <c r="U24">
        <f t="shared" si="15"/>
        <v>6</v>
      </c>
      <c r="V24" s="30">
        <f t="shared" si="13"/>
        <v>166669.89541231655</v>
      </c>
      <c r="W24" s="30">
        <f t="shared" si="14"/>
        <v>111478.76251438854</v>
      </c>
    </row>
    <row r="25" spans="1:23" ht="12.75">
      <c r="A25">
        <f t="shared" si="8"/>
        <v>7</v>
      </c>
      <c r="B25" s="1">
        <f t="shared" si="9"/>
        <v>5952534.844915949</v>
      </c>
      <c r="C25" s="1">
        <f t="shared" si="10"/>
        <v>5712825.355481378</v>
      </c>
      <c r="D25" s="1">
        <f t="shared" si="0"/>
        <v>5832680.100198664</v>
      </c>
      <c r="E25" s="1">
        <f>D25*SUM('Cost of Capital'!E$17:E$17)</f>
        <v>189562.10325645658</v>
      </c>
      <c r="F25" s="1">
        <f>D25*'Cost of Capital'!E$16</f>
        <v>291634.0050099332</v>
      </c>
      <c r="G25" s="1">
        <f>B$19*0.0489</f>
        <v>369619.121436</v>
      </c>
      <c r="H25" s="1">
        <f t="shared" si="1"/>
        <v>151173.46480000002</v>
      </c>
      <c r="I25" s="2">
        <f t="shared" si="2"/>
        <v>88536.02463457079</v>
      </c>
      <c r="J25" s="1">
        <f t="shared" si="3"/>
        <v>271942.7829300555</v>
      </c>
      <c r="K25" s="1">
        <f t="shared" si="4"/>
        <v>110218.4099215515</v>
      </c>
      <c r="L25" s="1">
        <f>(B$19-SUM(H$19:H24))*E$11</f>
        <v>116403.56789600001</v>
      </c>
      <c r="M25" s="1">
        <f t="shared" si="5"/>
        <v>858991.5508839414</v>
      </c>
      <c r="N25">
        <f>N24*(1/(1+'Cost of Capital'!E$21))</f>
        <v>0.6254954270295954</v>
      </c>
      <c r="O25" s="4">
        <f t="shared" si="6"/>
        <v>537295.2869349653</v>
      </c>
      <c r="P25" s="1">
        <f t="shared" si="11"/>
        <v>6993954</v>
      </c>
      <c r="Q25" s="1">
        <f t="shared" si="7"/>
        <v>4374686.243855347</v>
      </c>
      <c r="S25" s="1">
        <v>1107000</v>
      </c>
      <c r="T25" s="1">
        <f t="shared" si="12"/>
        <v>692423.4377217621</v>
      </c>
      <c r="U25">
        <f t="shared" si="15"/>
        <v>7</v>
      </c>
      <c r="V25" s="30">
        <f t="shared" si="13"/>
        <v>248008.44911605865</v>
      </c>
      <c r="W25" s="30">
        <f t="shared" si="14"/>
        <v>155128.15078679682</v>
      </c>
    </row>
    <row r="26" spans="1:23" ht="12.75">
      <c r="A26">
        <f t="shared" si="8"/>
        <v>8</v>
      </c>
      <c r="B26" s="1">
        <f t="shared" si="9"/>
        <v>5712825.355481378</v>
      </c>
      <c r="C26" s="1">
        <f t="shared" si="10"/>
        <v>5484450.928024244</v>
      </c>
      <c r="D26" s="1">
        <f t="shared" si="0"/>
        <v>5598638.141752811</v>
      </c>
      <c r="E26" s="1">
        <f>D26*SUM('Cost of Capital'!E$17:E$17)</f>
        <v>181955.73960696638</v>
      </c>
      <c r="F26" s="1">
        <f>D26*'Cost of Capital'!E$16</f>
        <v>279931.90708764055</v>
      </c>
      <c r="G26" s="1">
        <f>B$19*0.0452</f>
        <v>341652.030448</v>
      </c>
      <c r="H26" s="1">
        <f t="shared" si="1"/>
        <v>151173.46480000002</v>
      </c>
      <c r="I26" s="2">
        <f t="shared" si="2"/>
        <v>77200.9626571344</v>
      </c>
      <c r="J26" s="1">
        <f t="shared" si="3"/>
        <v>280232.56111783243</v>
      </c>
      <c r="K26" s="1">
        <f t="shared" si="4"/>
        <v>113578.25702105748</v>
      </c>
      <c r="L26" s="1">
        <f>(B$19-SUM(H$19:H25))*E$11</f>
        <v>113758.03226200002</v>
      </c>
      <c r="M26" s="1">
        <f t="shared" si="5"/>
        <v>840397.4007776645</v>
      </c>
      <c r="N26">
        <f>N25*(1/(1+'Cost of Capital'!E$21))</f>
        <v>0.5849426679795744</v>
      </c>
      <c r="O26" s="4">
        <f t="shared" si="6"/>
        <v>491584.2977739867</v>
      </c>
      <c r="P26" s="1">
        <f t="shared" si="11"/>
        <v>6993954</v>
      </c>
      <c r="Q26" s="1">
        <f t="shared" si="7"/>
        <v>4091062.1124864165</v>
      </c>
      <c r="S26" s="1">
        <v>1169000</v>
      </c>
      <c r="T26" s="1">
        <f t="shared" si="12"/>
        <v>683797.9788681224</v>
      </c>
      <c r="U26">
        <f t="shared" si="15"/>
        <v>8</v>
      </c>
      <c r="V26" s="30">
        <f t="shared" si="13"/>
        <v>328602.5992223355</v>
      </c>
      <c r="W26" s="30">
        <f t="shared" si="14"/>
        <v>192213.68109413574</v>
      </c>
    </row>
    <row r="27" spans="1:23" ht="12.75">
      <c r="A27">
        <f t="shared" si="8"/>
        <v>9</v>
      </c>
      <c r="B27" s="1">
        <f t="shared" si="9"/>
        <v>5484450.928024244</v>
      </c>
      <c r="C27" s="1">
        <f t="shared" si="10"/>
        <v>5257914.618725612</v>
      </c>
      <c r="D27" s="1">
        <f t="shared" si="0"/>
        <v>5371182.773374928</v>
      </c>
      <c r="E27" s="1">
        <f>D27*SUM('Cost of Capital'!E$17:E$17)</f>
        <v>174563.44013468517</v>
      </c>
      <c r="F27" s="1">
        <f>D27*'Cost of Capital'!E$16</f>
        <v>268559.1386687464</v>
      </c>
      <c r="G27" s="1">
        <f aca="true" t="shared" si="16" ref="G27:G38">B$19*0.0446</f>
        <v>337116.826504</v>
      </c>
      <c r="H27" s="1">
        <f t="shared" si="1"/>
        <v>151173.46480000002</v>
      </c>
      <c r="I27" s="2">
        <f t="shared" si="2"/>
        <v>75362.8444986312</v>
      </c>
      <c r="J27" s="1">
        <f t="shared" si="3"/>
        <v>265644.22643917537</v>
      </c>
      <c r="K27" s="1">
        <f t="shared" si="4"/>
        <v>107665.60497579777</v>
      </c>
      <c r="L27" s="1">
        <f>(B$19-SUM(H$19:H26))*E$11</f>
        <v>111112.49662800002</v>
      </c>
      <c r="M27" s="1">
        <f t="shared" si="5"/>
        <v>813074.1452072295</v>
      </c>
      <c r="N27">
        <f>N26*(1/(1+'Cost of Capital'!E$21))</f>
        <v>0.5470190668666126</v>
      </c>
      <c r="O27" s="4">
        <f t="shared" si="6"/>
        <v>444767.0602046274</v>
      </c>
      <c r="P27" s="1">
        <f t="shared" si="11"/>
        <v>6993954</v>
      </c>
      <c r="Q27" s="1">
        <f t="shared" si="7"/>
        <v>3825826.190788013</v>
      </c>
      <c r="S27" s="1">
        <v>1215000</v>
      </c>
      <c r="T27" s="1">
        <f t="shared" si="12"/>
        <v>664628.1662429343</v>
      </c>
      <c r="U27">
        <f t="shared" si="15"/>
        <v>9</v>
      </c>
      <c r="V27" s="30">
        <f t="shared" si="13"/>
        <v>401925.85479277046</v>
      </c>
      <c r="W27" s="30">
        <f t="shared" si="14"/>
        <v>219861.1060383069</v>
      </c>
    </row>
    <row r="28" spans="1:23" ht="12.75">
      <c r="A28">
        <f t="shared" si="8"/>
        <v>10</v>
      </c>
      <c r="B28" s="1">
        <f t="shared" si="9"/>
        <v>5257914.618725612</v>
      </c>
      <c r="C28" s="1">
        <f t="shared" si="10"/>
        <v>5031378.30942698</v>
      </c>
      <c r="D28" s="1">
        <f t="shared" si="0"/>
        <v>5144646.4640762955</v>
      </c>
      <c r="E28" s="1">
        <f>D28*SUM('Cost of Capital'!E$17:E$17)</f>
        <v>167201.0100824796</v>
      </c>
      <c r="F28" s="1">
        <f>D28*'Cost of Capital'!E$16</f>
        <v>257232.3232038148</v>
      </c>
      <c r="G28" s="1">
        <f t="shared" si="16"/>
        <v>337116.826504</v>
      </c>
      <c r="H28" s="1">
        <f t="shared" si="1"/>
        <v>151173.46480000002</v>
      </c>
      <c r="I28" s="2">
        <f t="shared" si="2"/>
        <v>75362.8444986312</v>
      </c>
      <c r="J28" s="1">
        <f t="shared" si="3"/>
        <v>246597.95863199263</v>
      </c>
      <c r="K28" s="1">
        <f t="shared" si="4"/>
        <v>99946.15263354662</v>
      </c>
      <c r="L28" s="1">
        <f>(B$19-SUM(H$19:H27))*E$11</f>
        <v>108466.96099400002</v>
      </c>
      <c r="M28" s="1">
        <f t="shared" si="5"/>
        <v>784019.9117138411</v>
      </c>
      <c r="N28">
        <f>N27*(1/(1+'Cost of Capital'!E$21))</f>
        <v>0.5115541674352064</v>
      </c>
      <c r="O28" s="4">
        <f t="shared" si="6"/>
        <v>401068.65318939806</v>
      </c>
      <c r="P28" s="1">
        <f t="shared" si="11"/>
        <v>6993954</v>
      </c>
      <c r="Q28" s="1">
        <f t="shared" si="7"/>
        <v>3577786.3155501317</v>
      </c>
      <c r="S28" s="1">
        <v>1215000</v>
      </c>
      <c r="T28" s="1">
        <f t="shared" si="12"/>
        <v>621538.3134337758</v>
      </c>
      <c r="U28">
        <f t="shared" si="15"/>
        <v>10</v>
      </c>
      <c r="V28" s="30">
        <f t="shared" si="13"/>
        <v>430980.08828615886</v>
      </c>
      <c r="W28" s="30">
        <f t="shared" si="14"/>
        <v>220469.66024437774</v>
      </c>
    </row>
    <row r="29" spans="1:23" ht="12.75">
      <c r="A29">
        <f t="shared" si="8"/>
        <v>11</v>
      </c>
      <c r="B29" s="1">
        <f t="shared" si="9"/>
        <v>5031378.30942698</v>
      </c>
      <c r="C29" s="1">
        <f t="shared" si="10"/>
        <v>4804842.000128348</v>
      </c>
      <c r="D29" s="1">
        <f t="shared" si="0"/>
        <v>4918110.154777665</v>
      </c>
      <c r="E29" s="1">
        <f>D29*SUM('Cost of Capital'!E$17:E$17)</f>
        <v>159838.5800302741</v>
      </c>
      <c r="F29" s="1">
        <f>D29*'Cost of Capital'!E$16</f>
        <v>245905.50773888326</v>
      </c>
      <c r="G29" s="1">
        <f t="shared" si="16"/>
        <v>337116.826504</v>
      </c>
      <c r="H29" s="1">
        <f t="shared" si="1"/>
        <v>151173.46480000002</v>
      </c>
      <c r="I29" s="2">
        <f t="shared" si="2"/>
        <v>75362.8444986312</v>
      </c>
      <c r="J29" s="1">
        <f t="shared" si="3"/>
        <v>227551.69082480995</v>
      </c>
      <c r="K29" s="1">
        <f t="shared" si="4"/>
        <v>92226.70029129548</v>
      </c>
      <c r="L29" s="1">
        <f>(B$19-SUM(H$19:H28))*E$11</f>
        <v>105821.42536000001</v>
      </c>
      <c r="M29" s="1">
        <f t="shared" si="5"/>
        <v>754965.678220453</v>
      </c>
      <c r="N29">
        <f>N28*(1/(1+'Cost of Capital'!E$21))</f>
        <v>0.47838856462408874</v>
      </c>
      <c r="O29" s="4">
        <f t="shared" si="6"/>
        <v>361166.94714433415</v>
      </c>
      <c r="P29" s="1">
        <f t="shared" si="11"/>
        <v>6993954</v>
      </c>
      <c r="Q29" s="1">
        <f t="shared" si="7"/>
        <v>3345827.615106904</v>
      </c>
      <c r="S29" s="1">
        <v>1215000</v>
      </c>
      <c r="T29" s="1">
        <f t="shared" si="12"/>
        <v>581242.1060182678</v>
      </c>
      <c r="U29">
        <f t="shared" si="15"/>
        <v>11</v>
      </c>
      <c r="V29" s="30">
        <f t="shared" si="13"/>
        <v>460034.321779547</v>
      </c>
      <c r="W29" s="30">
        <f t="shared" si="14"/>
        <v>220075.15887393366</v>
      </c>
    </row>
    <row r="30" spans="1:23" ht="12.75">
      <c r="A30">
        <f t="shared" si="8"/>
        <v>12</v>
      </c>
      <c r="B30" s="1">
        <f t="shared" si="9"/>
        <v>4804842.000128348</v>
      </c>
      <c r="C30" s="1">
        <f t="shared" si="10"/>
        <v>4578305.690829717</v>
      </c>
      <c r="D30" s="1">
        <f t="shared" si="0"/>
        <v>4691573.845479032</v>
      </c>
      <c r="E30" s="1">
        <f>D30*SUM('Cost of Capital'!E$17:E$17)</f>
        <v>152476.14997806854</v>
      </c>
      <c r="F30" s="1">
        <f>D30*'Cost of Capital'!E$16</f>
        <v>234578.6922739516</v>
      </c>
      <c r="G30" s="1">
        <f t="shared" si="16"/>
        <v>337116.826504</v>
      </c>
      <c r="H30" s="1">
        <f t="shared" si="1"/>
        <v>151173.46480000002</v>
      </c>
      <c r="I30" s="2">
        <f t="shared" si="2"/>
        <v>75362.8444986312</v>
      </c>
      <c r="J30" s="1">
        <f t="shared" si="3"/>
        <v>208505.42301762706</v>
      </c>
      <c r="K30" s="1">
        <f t="shared" si="4"/>
        <v>84507.24794904425</v>
      </c>
      <c r="L30" s="1">
        <f>(B$19-SUM(H$19:H29))*E$11</f>
        <v>103175.88972600001</v>
      </c>
      <c r="M30" s="1">
        <f t="shared" si="5"/>
        <v>725911.4447270645</v>
      </c>
      <c r="N30">
        <f>N29*(1/(1+'Cost of Capital'!E$21))</f>
        <v>0.4473731880839048</v>
      </c>
      <c r="O30" s="4">
        <f t="shared" si="6"/>
        <v>324753.31729414006</v>
      </c>
      <c r="P30" s="1">
        <f t="shared" si="11"/>
        <v>6993954</v>
      </c>
      <c r="Q30" s="1">
        <f t="shared" si="7"/>
        <v>3128907.4982921784</v>
      </c>
      <c r="S30" s="1">
        <v>1215000</v>
      </c>
      <c r="T30" s="1">
        <f t="shared" si="12"/>
        <v>543558.4235219443</v>
      </c>
      <c r="U30">
        <f t="shared" si="15"/>
        <v>12</v>
      </c>
      <c r="V30" s="30">
        <f t="shared" si="13"/>
        <v>489088.55527293554</v>
      </c>
      <c r="W30" s="30">
        <f t="shared" si="14"/>
        <v>218805.10622780427</v>
      </c>
    </row>
    <row r="31" spans="1:23" ht="12.75">
      <c r="A31">
        <f t="shared" si="8"/>
        <v>13</v>
      </c>
      <c r="B31" s="1">
        <f t="shared" si="9"/>
        <v>4578305.690829717</v>
      </c>
      <c r="C31" s="1">
        <f t="shared" si="10"/>
        <v>4351769.381531085</v>
      </c>
      <c r="D31" s="1">
        <f t="shared" si="0"/>
        <v>4465037.536180401</v>
      </c>
      <c r="E31" s="1">
        <f>D31*SUM('Cost of Capital'!E$17:E$17)</f>
        <v>145113.71992586306</v>
      </c>
      <c r="F31" s="1">
        <f>D31*'Cost of Capital'!E$16</f>
        <v>223251.87680902006</v>
      </c>
      <c r="G31" s="1">
        <f t="shared" si="16"/>
        <v>337116.826504</v>
      </c>
      <c r="H31" s="1">
        <f t="shared" si="1"/>
        <v>151173.46480000002</v>
      </c>
      <c r="I31" s="2">
        <f t="shared" si="2"/>
        <v>75362.8444986312</v>
      </c>
      <c r="J31" s="1">
        <f t="shared" si="3"/>
        <v>189459.15521044438</v>
      </c>
      <c r="K31" s="1">
        <f t="shared" si="4"/>
        <v>76787.79560679311</v>
      </c>
      <c r="L31" s="1">
        <f>(B$19-SUM(H$19:H30))*E$11</f>
        <v>100530.35409200002</v>
      </c>
      <c r="M31" s="1">
        <f t="shared" si="5"/>
        <v>696857.2112336763</v>
      </c>
      <c r="N31">
        <f>N30*(1/(1+'Cost of Capital'!E$21))</f>
        <v>0.41836863214660314</v>
      </c>
      <c r="O31" s="4">
        <f t="shared" si="6"/>
        <v>291543.19826532964</v>
      </c>
      <c r="P31" s="1">
        <f t="shared" si="11"/>
        <v>6993954</v>
      </c>
      <c r="Q31" s="1">
        <f t="shared" si="7"/>
        <v>2926050.9682762637</v>
      </c>
      <c r="S31" s="1">
        <v>1215000</v>
      </c>
      <c r="T31" s="1">
        <f t="shared" si="12"/>
        <v>508317.88805812283</v>
      </c>
      <c r="U31">
        <f t="shared" si="15"/>
        <v>13</v>
      </c>
      <c r="V31" s="30">
        <f t="shared" si="13"/>
        <v>518142.7887663237</v>
      </c>
      <c r="W31" s="30">
        <f t="shared" si="14"/>
        <v>216774.6897927932</v>
      </c>
    </row>
    <row r="32" spans="1:23" ht="12.75">
      <c r="A32">
        <f t="shared" si="8"/>
        <v>14</v>
      </c>
      <c r="B32" s="1">
        <f t="shared" si="9"/>
        <v>4351769.381531085</v>
      </c>
      <c r="C32" s="1">
        <f t="shared" si="10"/>
        <v>4125233.0722324536</v>
      </c>
      <c r="D32" s="1">
        <f t="shared" si="0"/>
        <v>4238501.2268817695</v>
      </c>
      <c r="E32" s="1">
        <f>D32*SUM('Cost of Capital'!E$17:E$17)</f>
        <v>137751.28987365752</v>
      </c>
      <c r="F32" s="1">
        <f>D32*'Cost of Capital'!E$16</f>
        <v>211925.0613440885</v>
      </c>
      <c r="G32" s="1">
        <f t="shared" si="16"/>
        <v>337116.826504</v>
      </c>
      <c r="H32" s="1">
        <f t="shared" si="1"/>
        <v>151173.46480000002</v>
      </c>
      <c r="I32" s="2">
        <f t="shared" si="2"/>
        <v>75362.8444986312</v>
      </c>
      <c r="J32" s="1">
        <f t="shared" si="3"/>
        <v>170412.88740326161</v>
      </c>
      <c r="K32" s="1">
        <f t="shared" si="4"/>
        <v>69068.34326454194</v>
      </c>
      <c r="L32" s="1">
        <f>(B$19-SUM(H$19:H31))*E$11</f>
        <v>97884.81845800002</v>
      </c>
      <c r="M32" s="1">
        <f t="shared" si="5"/>
        <v>667802.977740288</v>
      </c>
      <c r="N32">
        <f>N31*(1/(1+'Cost of Capital'!E$21))</f>
        <v>0.3912445292349358</v>
      </c>
      <c r="O32" s="4">
        <f t="shared" si="6"/>
        <v>261274.2616476873</v>
      </c>
      <c r="P32" s="1">
        <f t="shared" si="11"/>
        <v>6993954</v>
      </c>
      <c r="Q32" s="1">
        <f t="shared" si="7"/>
        <v>2736346.2402207963</v>
      </c>
      <c r="S32" s="1">
        <v>1215000</v>
      </c>
      <c r="T32" s="1">
        <f t="shared" si="12"/>
        <v>475362.103020447</v>
      </c>
      <c r="U32">
        <f t="shared" si="15"/>
        <v>14</v>
      </c>
      <c r="V32" s="30">
        <f t="shared" si="13"/>
        <v>547197.022259712</v>
      </c>
      <c r="W32" s="30">
        <f t="shared" si="14"/>
        <v>214087.84137275972</v>
      </c>
    </row>
    <row r="33" spans="1:23" ht="12.75">
      <c r="A33">
        <f t="shared" si="8"/>
        <v>15</v>
      </c>
      <c r="B33" s="1">
        <f t="shared" si="9"/>
        <v>4125233.0722324536</v>
      </c>
      <c r="C33" s="1">
        <f t="shared" si="10"/>
        <v>3898696.7629338223</v>
      </c>
      <c r="D33" s="1">
        <f t="shared" si="0"/>
        <v>4011964.9175831378</v>
      </c>
      <c r="E33" s="1">
        <f>D33*SUM('Cost of Capital'!E$17:E$17)</f>
        <v>130388.85982145199</v>
      </c>
      <c r="F33" s="1">
        <f>D33*'Cost of Capital'!E$16</f>
        <v>200598.2458791569</v>
      </c>
      <c r="G33" s="1">
        <f t="shared" si="16"/>
        <v>337116.826504</v>
      </c>
      <c r="H33" s="1">
        <f t="shared" si="1"/>
        <v>151173.46480000002</v>
      </c>
      <c r="I33" s="2">
        <f t="shared" si="2"/>
        <v>75362.8444986312</v>
      </c>
      <c r="J33" s="1">
        <f t="shared" si="3"/>
        <v>151366.61959607893</v>
      </c>
      <c r="K33" s="1">
        <f t="shared" si="4"/>
        <v>61348.89092229079</v>
      </c>
      <c r="L33" s="1">
        <f>(B$19-SUM(H$19:H32))*E$11</f>
        <v>95239.28282400001</v>
      </c>
      <c r="M33" s="1">
        <f t="shared" si="5"/>
        <v>638748.7442468996</v>
      </c>
      <c r="N33">
        <f>N32*(1/(1+'Cost of Capital'!E$21))</f>
        <v>0.36587896389571467</v>
      </c>
      <c r="O33" s="4">
        <f t="shared" si="6"/>
        <v>233704.72873474448</v>
      </c>
      <c r="P33" s="1">
        <f t="shared" si="11"/>
        <v>6993954</v>
      </c>
      <c r="Q33" s="1">
        <f t="shared" si="7"/>
        <v>2558940.6430542893</v>
      </c>
      <c r="S33" s="1">
        <v>1215000</v>
      </c>
      <c r="T33" s="1">
        <f t="shared" si="12"/>
        <v>444542.9411332933</v>
      </c>
      <c r="U33">
        <f t="shared" si="15"/>
        <v>15</v>
      </c>
      <c r="V33" s="30">
        <f t="shared" si="13"/>
        <v>576251.2557531004</v>
      </c>
      <c r="W33" s="30">
        <f t="shared" si="14"/>
        <v>210838.21239854884</v>
      </c>
    </row>
    <row r="34" spans="1:23" ht="12.75">
      <c r="A34">
        <f t="shared" si="8"/>
        <v>16</v>
      </c>
      <c r="B34" s="1">
        <f t="shared" si="9"/>
        <v>3898696.7629338223</v>
      </c>
      <c r="C34" s="1">
        <f t="shared" si="10"/>
        <v>3672160.453635191</v>
      </c>
      <c r="D34" s="1">
        <f t="shared" si="0"/>
        <v>3785428.608284507</v>
      </c>
      <c r="E34" s="1">
        <f>D34*SUM('Cost of Capital'!E$17:E$17)</f>
        <v>123026.42976924648</v>
      </c>
      <c r="F34" s="1">
        <f>D34*'Cost of Capital'!E$16</f>
        <v>189271.43041422535</v>
      </c>
      <c r="G34" s="1">
        <f t="shared" si="16"/>
        <v>337116.826504</v>
      </c>
      <c r="H34" s="1">
        <f t="shared" si="1"/>
        <v>151173.46480000002</v>
      </c>
      <c r="I34" s="2">
        <f t="shared" si="2"/>
        <v>75362.8444986312</v>
      </c>
      <c r="J34" s="1">
        <f t="shared" si="3"/>
        <v>132320.35178889625</v>
      </c>
      <c r="K34" s="1">
        <f t="shared" si="4"/>
        <v>53629.43858003965</v>
      </c>
      <c r="L34" s="1">
        <f>(B$19-SUM(H$19:H33))*E$11</f>
        <v>92593.74719000001</v>
      </c>
      <c r="M34" s="1">
        <f t="shared" si="5"/>
        <v>609694.5107535115</v>
      </c>
      <c r="N34">
        <f>N33*(1/(1+'Cost of Capital'!E$21))</f>
        <v>0.3421579248230626</v>
      </c>
      <c r="O34" s="4">
        <f t="shared" si="6"/>
        <v>208611.8085754339</v>
      </c>
      <c r="P34" s="1">
        <f t="shared" si="11"/>
        <v>6993954</v>
      </c>
      <c r="Q34" s="1">
        <f t="shared" si="7"/>
        <v>2393036.786947958</v>
      </c>
      <c r="S34" s="1">
        <v>248000</v>
      </c>
      <c r="T34" s="1">
        <f t="shared" si="12"/>
        <v>84855.16535611953</v>
      </c>
      <c r="U34">
        <f t="shared" si="15"/>
        <v>16</v>
      </c>
      <c r="V34" s="30">
        <f t="shared" si="13"/>
        <v>-361694.51075351145</v>
      </c>
      <c r="W34" s="30">
        <f t="shared" si="14"/>
        <v>-123756.64321931438</v>
      </c>
    </row>
    <row r="35" spans="1:23" ht="12.75">
      <c r="A35">
        <f t="shared" si="8"/>
        <v>17</v>
      </c>
      <c r="B35" s="1">
        <f t="shared" si="9"/>
        <v>3672160.453635191</v>
      </c>
      <c r="C35" s="1">
        <f t="shared" si="10"/>
        <v>3445624.14433656</v>
      </c>
      <c r="D35" s="1">
        <f t="shared" si="0"/>
        <v>3558892.298985875</v>
      </c>
      <c r="E35" s="1">
        <f>D35*SUM('Cost of Capital'!E$17:E$17)</f>
        <v>115663.99971704095</v>
      </c>
      <c r="F35" s="1">
        <f>D35*'Cost of Capital'!E$16</f>
        <v>177944.61494929378</v>
      </c>
      <c r="G35" s="1">
        <f t="shared" si="16"/>
        <v>337116.826504</v>
      </c>
      <c r="H35" s="1">
        <f t="shared" si="1"/>
        <v>151173.46480000002</v>
      </c>
      <c r="I35" s="2">
        <f t="shared" si="2"/>
        <v>75362.8444986312</v>
      </c>
      <c r="J35" s="1">
        <f t="shared" si="3"/>
        <v>113274.08398171347</v>
      </c>
      <c r="K35" s="1">
        <f t="shared" si="4"/>
        <v>45909.98623778847</v>
      </c>
      <c r="L35" s="1">
        <f>(B$19-SUM(H$19:H34))*E$11</f>
        <v>89948.21155600001</v>
      </c>
      <c r="M35" s="1">
        <f t="shared" si="5"/>
        <v>580640.2772601232</v>
      </c>
      <c r="N35">
        <f>N34*(1/(1+'Cost of Capital'!E$21))</f>
        <v>0.31997479240865356</v>
      </c>
      <c r="O35" s="4">
        <f t="shared" si="6"/>
        <v>185790.25218041096</v>
      </c>
      <c r="P35" s="1">
        <f t="shared" si="11"/>
        <v>6993954</v>
      </c>
      <c r="Q35" s="1">
        <f t="shared" si="7"/>
        <v>2237888.979265672</v>
      </c>
      <c r="S35" s="1">
        <v>248000</v>
      </c>
      <c r="T35" s="1">
        <f t="shared" si="12"/>
        <v>79353.74851734609</v>
      </c>
      <c r="U35">
        <f t="shared" si="15"/>
        <v>17</v>
      </c>
      <c r="V35" s="30">
        <f t="shared" si="13"/>
        <v>-332640.27726012317</v>
      </c>
      <c r="W35" s="30">
        <f t="shared" si="14"/>
        <v>-106436.50366306487</v>
      </c>
    </row>
    <row r="36" spans="1:23" ht="12.75">
      <c r="A36">
        <f t="shared" si="8"/>
        <v>18</v>
      </c>
      <c r="B36" s="1">
        <f t="shared" si="9"/>
        <v>3445624.14433656</v>
      </c>
      <c r="C36" s="1">
        <f t="shared" si="10"/>
        <v>3219087.8350379285</v>
      </c>
      <c r="D36" s="1">
        <f t="shared" si="0"/>
        <v>3332355.9896872444</v>
      </c>
      <c r="E36" s="1">
        <f>D36*SUM('Cost of Capital'!E$17:E$17)</f>
        <v>108301.56966483545</v>
      </c>
      <c r="F36" s="1">
        <f>D36*'Cost of Capital'!E$16</f>
        <v>166617.79948436224</v>
      </c>
      <c r="G36" s="1">
        <f t="shared" si="16"/>
        <v>337116.826504</v>
      </c>
      <c r="H36" s="1">
        <f t="shared" si="1"/>
        <v>151173.46480000002</v>
      </c>
      <c r="I36" s="2">
        <f t="shared" si="2"/>
        <v>75362.8444986312</v>
      </c>
      <c r="J36" s="1">
        <f t="shared" si="3"/>
        <v>94227.81617453079</v>
      </c>
      <c r="K36" s="1">
        <f t="shared" si="4"/>
        <v>38190.53389553733</v>
      </c>
      <c r="L36" s="1">
        <f>(B$19-SUM(H$19:H35))*E$11</f>
        <v>87302.67592200001</v>
      </c>
      <c r="M36" s="1">
        <f t="shared" si="5"/>
        <v>551586.043766735</v>
      </c>
      <c r="N36">
        <f>N35*(1/(1+'Cost of Capital'!E$21))</f>
        <v>0.2992298595156196</v>
      </c>
      <c r="O36" s="4">
        <f t="shared" si="6"/>
        <v>165051.0143870965</v>
      </c>
      <c r="P36" s="1">
        <f t="shared" si="11"/>
        <v>6993954</v>
      </c>
      <c r="Q36" s="1">
        <f t="shared" si="7"/>
        <v>2092799.8728787056</v>
      </c>
      <c r="S36" s="1">
        <v>248000</v>
      </c>
      <c r="T36" s="1">
        <f t="shared" si="12"/>
        <v>74209.00515987366</v>
      </c>
      <c r="U36">
        <f t="shared" si="15"/>
        <v>18</v>
      </c>
      <c r="V36" s="30">
        <f t="shared" si="13"/>
        <v>-303586.043766735</v>
      </c>
      <c r="W36" s="30">
        <f t="shared" si="14"/>
        <v>-90842.00922722285</v>
      </c>
    </row>
    <row r="37" spans="1:23" ht="12.75">
      <c r="A37">
        <f t="shared" si="8"/>
        <v>19</v>
      </c>
      <c r="B37" s="1">
        <f t="shared" si="9"/>
        <v>3219087.8350379285</v>
      </c>
      <c r="C37" s="1">
        <f t="shared" si="10"/>
        <v>2992551.5257392973</v>
      </c>
      <c r="D37" s="1">
        <f t="shared" si="0"/>
        <v>3105819.6803886127</v>
      </c>
      <c r="E37" s="1">
        <f>D37*SUM('Cost of Capital'!E$17:E$17)</f>
        <v>100939.13961262992</v>
      </c>
      <c r="F37" s="1">
        <f>D37*'Cost of Capital'!E$16</f>
        <v>155290.98401943065</v>
      </c>
      <c r="G37" s="1">
        <f t="shared" si="16"/>
        <v>337116.826504</v>
      </c>
      <c r="H37" s="1">
        <f t="shared" si="1"/>
        <v>151173.46480000002</v>
      </c>
      <c r="I37" s="2">
        <f t="shared" si="2"/>
        <v>75362.8444986312</v>
      </c>
      <c r="J37" s="1">
        <f t="shared" si="3"/>
        <v>75181.548367348</v>
      </c>
      <c r="K37" s="1">
        <f t="shared" si="4"/>
        <v>30471.081553286145</v>
      </c>
      <c r="L37" s="1">
        <f>(B$19-SUM(H$19:H36))*E$11</f>
        <v>84657.140288</v>
      </c>
      <c r="M37" s="1">
        <f t="shared" si="5"/>
        <v>522531.8102733467</v>
      </c>
      <c r="N37">
        <f>N36*(1/(1+'Cost of Capital'!E$21))</f>
        <v>0.27982988332213354</v>
      </c>
      <c r="O37" s="4">
        <f t="shared" si="6"/>
        <v>146220.01550089385</v>
      </c>
      <c r="P37" s="1">
        <f t="shared" si="11"/>
        <v>6993954</v>
      </c>
      <c r="Q37" s="1">
        <f t="shared" si="7"/>
        <v>1957117.3317803692</v>
      </c>
      <c r="S37" s="1">
        <v>248000</v>
      </c>
      <c r="T37" s="1">
        <f t="shared" si="12"/>
        <v>69397.81106388912</v>
      </c>
      <c r="U37">
        <f t="shared" si="15"/>
        <v>19</v>
      </c>
      <c r="V37" s="30">
        <f t="shared" si="13"/>
        <v>-274531.8102733467</v>
      </c>
      <c r="W37" s="30">
        <f t="shared" si="14"/>
        <v>-76822.20443700472</v>
      </c>
    </row>
    <row r="38" spans="1:23" ht="12.75">
      <c r="A38">
        <f t="shared" si="8"/>
        <v>20</v>
      </c>
      <c r="B38" s="1">
        <f t="shared" si="9"/>
        <v>2992551.5257392973</v>
      </c>
      <c r="C38" s="1">
        <f t="shared" si="10"/>
        <v>2766015.216440666</v>
      </c>
      <c r="D38" s="1">
        <f t="shared" si="0"/>
        <v>2879283.371089982</v>
      </c>
      <c r="E38" s="1">
        <f>D38*SUM('Cost of Capital'!E$17:E$17)</f>
        <v>93576.70956042441</v>
      </c>
      <c r="F38" s="1">
        <f>D38*'Cost of Capital'!E$16</f>
        <v>143964.1685544991</v>
      </c>
      <c r="G38" s="1">
        <f t="shared" si="16"/>
        <v>337116.826504</v>
      </c>
      <c r="H38" s="1">
        <f t="shared" si="1"/>
        <v>151173.46480000002</v>
      </c>
      <c r="I38" s="2">
        <f t="shared" si="2"/>
        <v>75362.8444986312</v>
      </c>
      <c r="J38" s="1">
        <f t="shared" si="3"/>
        <v>56135.28056016532</v>
      </c>
      <c r="K38" s="1">
        <f t="shared" si="4"/>
        <v>22751.629211035004</v>
      </c>
      <c r="L38" s="1">
        <f>(B$19-SUM(H$19:H37))*E$11</f>
        <v>82011.604654</v>
      </c>
      <c r="M38" s="1">
        <f t="shared" si="5"/>
        <v>493477.57677995856</v>
      </c>
      <c r="N38">
        <f>N37*(1/(1+'Cost of Capital'!E$21))</f>
        <v>0.26168766622032724</v>
      </c>
      <c r="O38" s="4">
        <f t="shared" si="6"/>
        <v>129136.9953996097</v>
      </c>
      <c r="P38" s="1">
        <f t="shared" si="11"/>
        <v>6993954</v>
      </c>
      <c r="Q38" s="1">
        <f t="shared" si="7"/>
        <v>1830231.4999123225</v>
      </c>
      <c r="S38" s="1">
        <v>248000</v>
      </c>
      <c r="T38" s="1">
        <f t="shared" si="12"/>
        <v>64898.54122264116</v>
      </c>
      <c r="U38">
        <f t="shared" si="15"/>
        <v>20</v>
      </c>
      <c r="V38" s="30">
        <f t="shared" si="13"/>
        <v>-245477.57677995856</v>
      </c>
      <c r="W38" s="30">
        <f t="shared" si="14"/>
        <v>-64238.454176968546</v>
      </c>
    </row>
    <row r="39" spans="1:23" ht="12.75">
      <c r="A39">
        <f t="shared" si="8"/>
        <v>21</v>
      </c>
      <c r="B39" s="1">
        <f t="shared" si="9"/>
        <v>2766015.216440666</v>
      </c>
      <c r="C39" s="1">
        <f t="shared" si="10"/>
        <v>2607795.63203307</v>
      </c>
      <c r="D39" s="1">
        <f t="shared" si="0"/>
        <v>2686905.424236868</v>
      </c>
      <c r="E39" s="1">
        <f>D39*SUM('Cost of Capital'!E$17:E$17)</f>
        <v>87324.42628769821</v>
      </c>
      <c r="F39" s="1">
        <f>D39*'Cost of Capital'!E$16</f>
        <v>134345.2712118434</v>
      </c>
      <c r="G39" s="1">
        <f>B$19*0.0223</f>
        <v>168558.413252</v>
      </c>
      <c r="H39" s="1">
        <f t="shared" si="1"/>
        <v>151173.46480000002</v>
      </c>
      <c r="I39" s="2">
        <f t="shared" si="2"/>
        <v>7046.119607595593</v>
      </c>
      <c r="J39" s="1">
        <f t="shared" si="3"/>
        <v>208519.32464677826</v>
      </c>
      <c r="K39" s="1">
        <f t="shared" si="4"/>
        <v>84512.88227933923</v>
      </c>
      <c r="L39" s="1">
        <f>(B$19-SUM(H$19:H38))*E$11</f>
        <v>79366.06902</v>
      </c>
      <c r="M39" s="1">
        <f t="shared" si="5"/>
        <v>536722.1135988808</v>
      </c>
      <c r="N39">
        <f>N38*(1/(1+'Cost of Capital'!E$21))</f>
        <v>0.2447216638867992</v>
      </c>
      <c r="O39" s="4">
        <f t="shared" si="6"/>
        <v>131347.52868475777</v>
      </c>
      <c r="P39" s="1">
        <f t="shared" si="11"/>
        <v>6993954</v>
      </c>
      <c r="Q39" s="1">
        <f t="shared" si="7"/>
        <v>1711572.0600277348</v>
      </c>
      <c r="S39" s="1">
        <v>248000</v>
      </c>
      <c r="T39" s="1">
        <f t="shared" si="12"/>
        <v>60690.9726439262</v>
      </c>
      <c r="U39">
        <f t="shared" si="15"/>
        <v>21</v>
      </c>
      <c r="V39" s="30">
        <f t="shared" si="13"/>
        <v>-288722.1135988808</v>
      </c>
      <c r="W39" s="30">
        <f t="shared" si="14"/>
        <v>-70656.55604083157</v>
      </c>
    </row>
    <row r="40" spans="1:23" ht="12.75">
      <c r="A40">
        <f t="shared" si="8"/>
        <v>22</v>
      </c>
      <c r="B40" s="1">
        <f t="shared" si="9"/>
        <v>2607795.63203307</v>
      </c>
      <c r="C40" s="1">
        <f t="shared" si="10"/>
        <v>2517892.77251651</v>
      </c>
      <c r="D40" s="1">
        <f t="shared" si="0"/>
        <v>2562844.20227479</v>
      </c>
      <c r="E40" s="1">
        <f>D40*SUM('Cost of Capital'!E$17:E$17)</f>
        <v>83292.43657393068</v>
      </c>
      <c r="F40" s="1">
        <f>D40*'Cost of Capital'!E$16</f>
        <v>128142.21011373951</v>
      </c>
      <c r="G40" s="1">
        <v>0</v>
      </c>
      <c r="H40" s="1">
        <f t="shared" si="1"/>
        <v>151173.46480000002</v>
      </c>
      <c r="I40" s="2">
        <f t="shared" si="2"/>
        <v>-61270.60528344</v>
      </c>
      <c r="J40" s="1">
        <f t="shared" si="3"/>
        <v>366647.1660169826</v>
      </c>
      <c r="K40" s="1">
        <f t="shared" si="4"/>
        <v>148602.09638668303</v>
      </c>
      <c r="L40" s="1">
        <f>(B$19-SUM(H$19:H39))*E$11</f>
        <v>76720.533386</v>
      </c>
      <c r="M40" s="1">
        <f t="shared" si="5"/>
        <v>587930.7412603532</v>
      </c>
      <c r="N40">
        <f>N39*(1/(1+'Cost of Capital'!E$21))</f>
        <v>0.22885561876309596</v>
      </c>
      <c r="O40" s="4">
        <f t="shared" si="6"/>
        <v>134551.25358098382</v>
      </c>
      <c r="P40" s="1">
        <f t="shared" si="11"/>
        <v>6993954</v>
      </c>
      <c r="Q40" s="1">
        <f t="shared" si="7"/>
        <v>1600605.67027063</v>
      </c>
      <c r="S40" s="1">
        <v>248000</v>
      </c>
      <c r="T40" s="1">
        <f t="shared" si="12"/>
        <v>56756.1934532478</v>
      </c>
      <c r="U40">
        <f t="shared" si="15"/>
        <v>22</v>
      </c>
      <c r="V40" s="30">
        <f t="shared" si="13"/>
        <v>-339930.74126035324</v>
      </c>
      <c r="W40" s="30">
        <f t="shared" si="14"/>
        <v>-77795.06012773601</v>
      </c>
    </row>
    <row r="41" spans="1:23" ht="12.75">
      <c r="A41">
        <f t="shared" si="8"/>
        <v>23</v>
      </c>
      <c r="B41" s="1">
        <f t="shared" si="9"/>
        <v>2517892.77251651</v>
      </c>
      <c r="C41" s="1">
        <f t="shared" si="10"/>
        <v>2427989.91299995</v>
      </c>
      <c r="D41" s="1">
        <f t="shared" si="0"/>
        <v>2472941.34275823</v>
      </c>
      <c r="E41" s="1">
        <f>D41*SUM('Cost of Capital'!E$17:E$17)</f>
        <v>80370.59363964248</v>
      </c>
      <c r="F41" s="1">
        <f>D41*'Cost of Capital'!E$16</f>
        <v>123647.06713791151</v>
      </c>
      <c r="G41" s="1">
        <v>0</v>
      </c>
      <c r="H41" s="1">
        <f t="shared" si="1"/>
        <v>151173.46480000002</v>
      </c>
      <c r="I41" s="2">
        <f t="shared" si="2"/>
        <v>-61270.60528344</v>
      </c>
      <c r="J41" s="1">
        <f t="shared" si="3"/>
        <v>359088.49277698254</v>
      </c>
      <c r="K41" s="1">
        <f t="shared" si="4"/>
        <v>145538.56612251102</v>
      </c>
      <c r="L41" s="1">
        <f>(B$19-SUM(H$19:H40))*E$11</f>
        <v>74074.99775199998</v>
      </c>
      <c r="M41" s="1">
        <f t="shared" si="5"/>
        <v>574804.689452065</v>
      </c>
      <c r="N41">
        <f>N40*(1/(1+'Cost of Capital'!E$21))</f>
        <v>0.21401821729876172</v>
      </c>
      <c r="O41" s="4">
        <f t="shared" si="6"/>
        <v>123018.6749314993</v>
      </c>
      <c r="P41" s="1">
        <f t="shared" si="11"/>
        <v>6993954</v>
      </c>
      <c r="Q41" s="1">
        <f t="shared" si="7"/>
        <v>1496833.5669495438</v>
      </c>
      <c r="S41" s="1">
        <v>248000</v>
      </c>
      <c r="T41" s="1">
        <f t="shared" si="12"/>
        <v>53076.51789009291</v>
      </c>
      <c r="U41">
        <f t="shared" si="15"/>
        <v>23</v>
      </c>
      <c r="V41" s="30">
        <f t="shared" si="13"/>
        <v>-326804.68945206504</v>
      </c>
      <c r="W41" s="30">
        <f t="shared" si="14"/>
        <v>-69942.1570414064</v>
      </c>
    </row>
    <row r="42" spans="1:23" ht="12.75">
      <c r="A42">
        <f t="shared" si="8"/>
        <v>24</v>
      </c>
      <c r="B42" s="1">
        <f t="shared" si="9"/>
        <v>2427989.91299995</v>
      </c>
      <c r="C42" s="1">
        <f t="shared" si="10"/>
        <v>2338087.05348339</v>
      </c>
      <c r="D42" s="1">
        <f t="shared" si="0"/>
        <v>2383038.48324167</v>
      </c>
      <c r="E42" s="1">
        <f>D42*SUM('Cost of Capital'!E$17:E$17)</f>
        <v>77448.75070535428</v>
      </c>
      <c r="F42" s="1">
        <f>D42*'Cost of Capital'!E$16</f>
        <v>119151.9241620835</v>
      </c>
      <c r="G42" s="1">
        <v>0</v>
      </c>
      <c r="H42" s="1">
        <f t="shared" si="1"/>
        <v>151173.46480000002</v>
      </c>
      <c r="I42" s="2">
        <f t="shared" si="2"/>
        <v>-61270.60528344</v>
      </c>
      <c r="J42" s="1">
        <f t="shared" si="3"/>
        <v>351529.8195369825</v>
      </c>
      <c r="K42" s="1">
        <f t="shared" si="4"/>
        <v>142475.03585833902</v>
      </c>
      <c r="L42" s="1">
        <f>(B$19-SUM(H$19:H41))*E$11</f>
        <v>71429.46211799998</v>
      </c>
      <c r="M42" s="1">
        <f t="shared" si="5"/>
        <v>561678.6376437768</v>
      </c>
      <c r="N42">
        <f>N41*(1/(1+'Cost of Capital'!E$21))</f>
        <v>0.2001427694163569</v>
      </c>
      <c r="O42" s="4">
        <f t="shared" si="6"/>
        <v>112415.91806003191</v>
      </c>
      <c r="P42" s="1">
        <f t="shared" si="11"/>
        <v>6993954</v>
      </c>
      <c r="Q42" s="1">
        <f t="shared" si="7"/>
        <v>1399789.322730607</v>
      </c>
      <c r="S42" s="1">
        <v>248000</v>
      </c>
      <c r="T42" s="1">
        <f t="shared" si="12"/>
        <v>49635.40681525651</v>
      </c>
      <c r="U42">
        <f t="shared" si="15"/>
        <v>24</v>
      </c>
      <c r="V42" s="30">
        <f t="shared" si="13"/>
        <v>-313678.63764377683</v>
      </c>
      <c r="W42" s="30">
        <f t="shared" si="14"/>
        <v>-62780.5112447754</v>
      </c>
    </row>
    <row r="43" spans="1:23" ht="12.75">
      <c r="A43">
        <f t="shared" si="8"/>
        <v>25</v>
      </c>
      <c r="B43" s="1">
        <f t="shared" si="9"/>
        <v>2338087.05348339</v>
      </c>
      <c r="C43" s="1">
        <f t="shared" si="10"/>
        <v>2248184.1939668297</v>
      </c>
      <c r="D43" s="1">
        <f t="shared" si="0"/>
        <v>2293135.6237251097</v>
      </c>
      <c r="E43" s="1">
        <f>D43*SUM('Cost of Capital'!E$17:E$17)</f>
        <v>74526.90777106606</v>
      </c>
      <c r="F43" s="1">
        <f>D43*'Cost of Capital'!E$16</f>
        <v>114656.7811862555</v>
      </c>
      <c r="G43" s="1">
        <v>0</v>
      </c>
      <c r="H43" s="1">
        <f t="shared" si="1"/>
        <v>151173.46480000002</v>
      </c>
      <c r="I43" s="2">
        <f t="shared" si="2"/>
        <v>-61270.60528344</v>
      </c>
      <c r="J43" s="1">
        <f t="shared" si="3"/>
        <v>343971.14629698254</v>
      </c>
      <c r="K43" s="1">
        <f t="shared" si="4"/>
        <v>139411.505594167</v>
      </c>
      <c r="L43" s="1">
        <f>(B$19-SUM(H$19:H42))*E$11</f>
        <v>68783.92648399998</v>
      </c>
      <c r="M43" s="1">
        <f t="shared" si="5"/>
        <v>548552.5858354885</v>
      </c>
      <c r="N43">
        <f>N42*(1/(1+'Cost of Capital'!E$21))</f>
        <v>0.1871669087577283</v>
      </c>
      <c r="O43" s="4">
        <f t="shared" si="6"/>
        <v>102670.89178188679</v>
      </c>
      <c r="P43" s="1">
        <f t="shared" si="11"/>
        <v>6993954</v>
      </c>
      <c r="Q43" s="1">
        <f t="shared" si="7"/>
        <v>1309036.7501737487</v>
      </c>
      <c r="S43" s="1">
        <v>248000</v>
      </c>
      <c r="T43" s="1">
        <f t="shared" si="12"/>
        <v>46417.393371916616</v>
      </c>
      <c r="U43">
        <f t="shared" si="15"/>
        <v>25</v>
      </c>
      <c r="V43" s="30">
        <f t="shared" si="13"/>
        <v>-300552.5858354885</v>
      </c>
      <c r="W43" s="30">
        <f t="shared" si="14"/>
        <v>-56253.498409970176</v>
      </c>
    </row>
    <row r="44" spans="1:23" ht="12.75">
      <c r="A44">
        <f t="shared" si="8"/>
        <v>26</v>
      </c>
      <c r="B44" s="1">
        <f t="shared" si="9"/>
        <v>2248184.1939668297</v>
      </c>
      <c r="C44" s="1">
        <f t="shared" si="10"/>
        <v>2158281.3344502696</v>
      </c>
      <c r="D44" s="1">
        <f t="shared" si="0"/>
        <v>2203232.7642085496</v>
      </c>
      <c r="E44" s="1">
        <f>D44*SUM('Cost of Capital'!E$17:E$17)</f>
        <v>71605.06483677786</v>
      </c>
      <c r="F44" s="1">
        <f>D44*'Cost of Capital'!E$16</f>
        <v>110161.63821042748</v>
      </c>
      <c r="G44" s="1">
        <v>0</v>
      </c>
      <c r="H44" s="1">
        <f t="shared" si="1"/>
        <v>151173.46480000002</v>
      </c>
      <c r="I44" s="2">
        <f t="shared" si="2"/>
        <v>-61270.60528344</v>
      </c>
      <c r="J44" s="1">
        <f t="shared" si="3"/>
        <v>336412.4730569825</v>
      </c>
      <c r="K44" s="1">
        <f t="shared" si="4"/>
        <v>136347.975329995</v>
      </c>
      <c r="L44" s="1">
        <f>(B$19-SUM(H$19:H43))*E$11</f>
        <v>66138.39084999998</v>
      </c>
      <c r="M44" s="1">
        <f t="shared" si="5"/>
        <v>535426.5340272003</v>
      </c>
      <c r="N44">
        <f>N43*(1/(1+'Cost of Capital'!E$21))</f>
        <v>0.17503231236421976</v>
      </c>
      <c r="O44" s="4">
        <f t="shared" si="6"/>
        <v>93716.94435194046</v>
      </c>
      <c r="P44" s="1">
        <f t="shared" si="11"/>
        <v>6993954</v>
      </c>
      <c r="Q44" s="1">
        <f t="shared" si="7"/>
        <v>1224167.9411889843</v>
      </c>
      <c r="S44" s="1">
        <v>248000</v>
      </c>
      <c r="T44" s="1">
        <f t="shared" si="12"/>
        <v>43408.0134663265</v>
      </c>
      <c r="U44">
        <f t="shared" si="15"/>
        <v>26</v>
      </c>
      <c r="V44" s="30">
        <f t="shared" si="13"/>
        <v>-287426.5340272003</v>
      </c>
      <c r="W44" s="30">
        <f t="shared" si="14"/>
        <v>-50308.93088561396</v>
      </c>
    </row>
    <row r="45" spans="1:23" ht="12.75">
      <c r="A45">
        <f t="shared" si="8"/>
        <v>27</v>
      </c>
      <c r="B45" s="1">
        <f t="shared" si="9"/>
        <v>2158281.3344502696</v>
      </c>
      <c r="C45" s="1">
        <f t="shared" si="10"/>
        <v>2068378.4749337097</v>
      </c>
      <c r="D45" s="1">
        <f t="shared" si="0"/>
        <v>2113329.9046919895</v>
      </c>
      <c r="E45" s="1">
        <f>D45*SUM('Cost of Capital'!E$17:E$17)</f>
        <v>68683.22190248966</v>
      </c>
      <c r="F45" s="1">
        <f>D45*'Cost of Capital'!E$16</f>
        <v>105666.49523459948</v>
      </c>
      <c r="G45" s="1">
        <v>0</v>
      </c>
      <c r="H45" s="1">
        <f t="shared" si="1"/>
        <v>151173.46480000002</v>
      </c>
      <c r="I45" s="2">
        <f t="shared" si="2"/>
        <v>-61270.60528344</v>
      </c>
      <c r="J45" s="1">
        <f t="shared" si="3"/>
        <v>328853.79981698253</v>
      </c>
      <c r="K45" s="1">
        <f t="shared" si="4"/>
        <v>133284.445065823</v>
      </c>
      <c r="L45" s="1">
        <f>(B$19-SUM(H$19:H44))*E$11</f>
        <v>63492.855215999974</v>
      </c>
      <c r="M45" s="1">
        <f t="shared" si="5"/>
        <v>522300.4822189122</v>
      </c>
      <c r="N45">
        <f>N44*(1/(1+'Cost of Capital'!E$21))</f>
        <v>0.16368443853086181</v>
      </c>
      <c r="O45" s="4">
        <f t="shared" si="6"/>
        <v>85492.46117640102</v>
      </c>
      <c r="P45" s="1">
        <f t="shared" si="11"/>
        <v>6993954</v>
      </c>
      <c r="Q45" s="1">
        <f t="shared" si="7"/>
        <v>1144801.433600675</v>
      </c>
      <c r="S45" s="1">
        <v>248000</v>
      </c>
      <c r="T45" s="1">
        <f t="shared" si="12"/>
        <v>40593.74075565373</v>
      </c>
      <c r="U45">
        <f t="shared" si="15"/>
        <v>27</v>
      </c>
      <c r="V45" s="30">
        <f t="shared" si="13"/>
        <v>-274300.4822189122</v>
      </c>
      <c r="W45" s="30">
        <f t="shared" si="14"/>
        <v>-44898.72042074729</v>
      </c>
    </row>
    <row r="46" spans="1:23" ht="12.75">
      <c r="A46">
        <f t="shared" si="8"/>
        <v>28</v>
      </c>
      <c r="B46" s="1">
        <f t="shared" si="9"/>
        <v>2068378.4749337097</v>
      </c>
      <c r="C46" s="1">
        <f t="shared" si="10"/>
        <v>1978475.6154171498</v>
      </c>
      <c r="D46" s="1">
        <f t="shared" si="0"/>
        <v>2023427.04517543</v>
      </c>
      <c r="E46" s="1">
        <f>D46*SUM('Cost of Capital'!E$17:E$17)</f>
        <v>65761.37896820148</v>
      </c>
      <c r="F46" s="1">
        <f>D46*'Cost of Capital'!E$16</f>
        <v>101171.3522587715</v>
      </c>
      <c r="G46" s="1">
        <v>0</v>
      </c>
      <c r="H46" s="1">
        <f t="shared" si="1"/>
        <v>151173.46480000002</v>
      </c>
      <c r="I46" s="2">
        <f t="shared" si="2"/>
        <v>-61270.60528344</v>
      </c>
      <c r="J46" s="1">
        <f t="shared" si="3"/>
        <v>321295.1265769825</v>
      </c>
      <c r="K46" s="1">
        <f t="shared" si="4"/>
        <v>130220.914801651</v>
      </c>
      <c r="L46" s="1">
        <f>(B$19-SUM(H$19:H45))*E$11</f>
        <v>60847.31958199997</v>
      </c>
      <c r="M46" s="1">
        <f t="shared" si="5"/>
        <v>509174.43041062396</v>
      </c>
      <c r="N46">
        <f>N45*(1/(1+'Cost of Capital'!E$21))</f>
        <v>0.15307228165626657</v>
      </c>
      <c r="O46" s="4">
        <f t="shared" si="6"/>
        <v>77940.49182398414</v>
      </c>
      <c r="P46" s="1">
        <f t="shared" si="11"/>
        <v>6993954</v>
      </c>
      <c r="Q46" s="1">
        <f t="shared" si="7"/>
        <v>1070580.4965789723</v>
      </c>
      <c r="S46" s="1">
        <v>248000</v>
      </c>
      <c r="T46" s="1">
        <f t="shared" si="12"/>
        <v>37961.92585075411</v>
      </c>
      <c r="U46">
        <f t="shared" si="15"/>
        <v>28</v>
      </c>
      <c r="V46" s="30">
        <f t="shared" si="13"/>
        <v>-261174.43041062396</v>
      </c>
      <c r="W46" s="30">
        <f t="shared" si="14"/>
        <v>-39978.56597323003</v>
      </c>
    </row>
    <row r="47" spans="1:23" ht="12.75">
      <c r="A47">
        <f t="shared" si="8"/>
        <v>29</v>
      </c>
      <c r="B47" s="1">
        <f t="shared" si="9"/>
        <v>1978475.6154171498</v>
      </c>
      <c r="C47" s="1">
        <f t="shared" si="10"/>
        <v>1888572.75590059</v>
      </c>
      <c r="D47" s="1">
        <f t="shared" si="0"/>
        <v>1933524.1856588698</v>
      </c>
      <c r="E47" s="1">
        <f>D47*SUM('Cost of Capital'!E$17:E$17)</f>
        <v>62839.53603391327</v>
      </c>
      <c r="F47" s="1">
        <f>D47*'Cost of Capital'!E$16</f>
        <v>96676.2092829435</v>
      </c>
      <c r="G47" s="1">
        <v>0</v>
      </c>
      <c r="H47" s="1">
        <f t="shared" si="1"/>
        <v>151173.46480000002</v>
      </c>
      <c r="I47" s="2">
        <f t="shared" si="2"/>
        <v>-61270.60528344</v>
      </c>
      <c r="J47" s="1">
        <f t="shared" si="3"/>
        <v>313736.4533369826</v>
      </c>
      <c r="K47" s="1">
        <f t="shared" si="4"/>
        <v>127157.38453747904</v>
      </c>
      <c r="L47" s="1">
        <f>(B$19-SUM(H$19:H46))*E$11</f>
        <v>58201.78394799997</v>
      </c>
      <c r="M47" s="1">
        <f t="shared" si="5"/>
        <v>496048.3786023358</v>
      </c>
      <c r="N47">
        <f>N46*(1/(1+'Cost of Capital'!E$21))</f>
        <v>0.14314814298634498</v>
      </c>
      <c r="O47" s="4">
        <f t="shared" si="6"/>
        <v>71008.40422831176</v>
      </c>
      <c r="P47" s="1">
        <f t="shared" si="11"/>
        <v>6993954</v>
      </c>
      <c r="Q47" s="1">
        <f t="shared" si="7"/>
        <v>1001171.5272319195</v>
      </c>
      <c r="S47" s="1">
        <v>248000</v>
      </c>
      <c r="T47" s="1">
        <f t="shared" si="12"/>
        <v>35500.73946061356</v>
      </c>
      <c r="U47">
        <f t="shared" si="15"/>
        <v>29</v>
      </c>
      <c r="V47" s="30">
        <f t="shared" si="13"/>
        <v>-248048.3786023358</v>
      </c>
      <c r="W47" s="30">
        <f t="shared" si="14"/>
        <v>-35507.6647676982</v>
      </c>
    </row>
    <row r="48" spans="1:23" ht="12.75">
      <c r="A48">
        <f t="shared" si="8"/>
        <v>30</v>
      </c>
      <c r="B48" s="1">
        <f t="shared" si="9"/>
        <v>1888572.75590059</v>
      </c>
      <c r="C48" s="1">
        <f t="shared" si="10"/>
        <v>1798669.89638403</v>
      </c>
      <c r="D48" s="1">
        <f t="shared" si="0"/>
        <v>1843621.3261423102</v>
      </c>
      <c r="E48" s="1">
        <f>D48*SUM('Cost of Capital'!E$17:E$17)</f>
        <v>59917.69309962508</v>
      </c>
      <c r="F48" s="1">
        <f>D48*'Cost of Capital'!E$16</f>
        <v>92181.06630711551</v>
      </c>
      <c r="G48" s="1">
        <v>0</v>
      </c>
      <c r="H48" s="1">
        <f t="shared" si="1"/>
        <v>151173.46480000002</v>
      </c>
      <c r="I48" s="2">
        <f t="shared" si="2"/>
        <v>-61270.60528344</v>
      </c>
      <c r="J48" s="1">
        <f t="shared" si="3"/>
        <v>306177.78009698255</v>
      </c>
      <c r="K48" s="1">
        <f t="shared" si="4"/>
        <v>124093.85427330702</v>
      </c>
      <c r="L48" s="1">
        <f>(B$19-SUM(H$19:H47))*E$11</f>
        <v>55556.24831399996</v>
      </c>
      <c r="M48" s="1">
        <f t="shared" si="5"/>
        <v>482922.3267940476</v>
      </c>
      <c r="N48">
        <f>N47*(1/(1+'Cost of Capital'!E$21))</f>
        <v>0.1338674162214017</v>
      </c>
      <c r="O48" s="4">
        <f t="shared" si="6"/>
        <v>64647.56412354654</v>
      </c>
      <c r="P48" s="1">
        <f t="shared" si="11"/>
        <v>6993954</v>
      </c>
      <c r="Q48" s="1">
        <f t="shared" si="7"/>
        <v>936262.5511513372</v>
      </c>
      <c r="S48" s="1">
        <v>248000</v>
      </c>
      <c r="T48" s="1">
        <f t="shared" si="12"/>
        <v>33199.11922290762</v>
      </c>
      <c r="U48">
        <f t="shared" si="15"/>
        <v>30</v>
      </c>
      <c r="V48" s="30">
        <f t="shared" si="13"/>
        <v>-234922.3267940476</v>
      </c>
      <c r="W48" s="30">
        <f t="shared" si="14"/>
        <v>-31448.44490063892</v>
      </c>
    </row>
    <row r="49" spans="1:23" ht="12.75">
      <c r="A49">
        <f t="shared" si="8"/>
        <v>31</v>
      </c>
      <c r="B49" s="1">
        <f t="shared" si="9"/>
        <v>1798669.89638403</v>
      </c>
      <c r="C49" s="1">
        <f t="shared" si="10"/>
        <v>1708767.0368674702</v>
      </c>
      <c r="D49" s="1">
        <f t="shared" si="0"/>
        <v>1753718.46662575</v>
      </c>
      <c r="E49" s="1">
        <f>D49*SUM('Cost of Capital'!E$17:E$17)</f>
        <v>56995.85016533688</v>
      </c>
      <c r="F49" s="1">
        <f>D49*'Cost of Capital'!E$16</f>
        <v>87685.92333128751</v>
      </c>
      <c r="G49" s="1">
        <v>0</v>
      </c>
      <c r="H49" s="1">
        <f t="shared" si="1"/>
        <v>151173.46480000002</v>
      </c>
      <c r="I49" s="2">
        <f t="shared" si="2"/>
        <v>-61270.60528344</v>
      </c>
      <c r="J49" s="1">
        <f t="shared" si="3"/>
        <v>298619.1068569826</v>
      </c>
      <c r="K49" s="1">
        <f t="shared" si="4"/>
        <v>121030.32400913503</v>
      </c>
      <c r="L49" s="1">
        <f>(B$19-SUM(H$19:H48))*E$11</f>
        <v>52910.71267999996</v>
      </c>
      <c r="M49" s="1">
        <f t="shared" si="5"/>
        <v>469796.27498575934</v>
      </c>
      <c r="N49">
        <f>N48*(1/(1+'Cost of Capital'!E$21))</f>
        <v>0.12518838702296997</v>
      </c>
      <c r="O49" s="4">
        <f t="shared" si="6"/>
        <v>58813.037894866866</v>
      </c>
      <c r="P49" s="1">
        <f t="shared" si="11"/>
        <v>6993954</v>
      </c>
      <c r="Q49" s="1">
        <f t="shared" si="7"/>
        <v>875561.8201728489</v>
      </c>
      <c r="S49" s="1">
        <v>50000</v>
      </c>
      <c r="T49" s="1">
        <f t="shared" si="12"/>
        <v>6259.419351148498</v>
      </c>
      <c r="U49">
        <f t="shared" si="15"/>
        <v>31</v>
      </c>
      <c r="V49" s="30">
        <f t="shared" si="13"/>
        <v>-419796.27498575934</v>
      </c>
      <c r="W49" s="30">
        <f t="shared" si="14"/>
        <v>-52553.61854371837</v>
      </c>
    </row>
    <row r="50" spans="1:23" ht="12.75">
      <c r="A50">
        <f t="shared" si="8"/>
        <v>32</v>
      </c>
      <c r="B50" s="1">
        <f t="shared" si="9"/>
        <v>1708767.0368674702</v>
      </c>
      <c r="C50" s="1">
        <f t="shared" si="10"/>
        <v>1618864.1773509104</v>
      </c>
      <c r="D50" s="1">
        <f t="shared" si="0"/>
        <v>1663815.6071091904</v>
      </c>
      <c r="E50" s="1">
        <f>D50*SUM('Cost of Capital'!E$17:E$17)</f>
        <v>54074.007231048694</v>
      </c>
      <c r="F50" s="1">
        <f>D50*'Cost of Capital'!E$16</f>
        <v>83190.78035545953</v>
      </c>
      <c r="G50" s="1">
        <v>0</v>
      </c>
      <c r="H50" s="1">
        <f t="shared" si="1"/>
        <v>151173.46480000002</v>
      </c>
      <c r="I50" s="2">
        <f t="shared" si="2"/>
        <v>-61270.60528344</v>
      </c>
      <c r="J50" s="1">
        <f t="shared" si="3"/>
        <v>291060.4336169826</v>
      </c>
      <c r="K50" s="1">
        <f t="shared" si="4"/>
        <v>117966.79374496304</v>
      </c>
      <c r="L50" s="1">
        <f>(B$19-SUM(H$19:H49))*E$11</f>
        <v>50265.17704599995</v>
      </c>
      <c r="M50" s="1">
        <f t="shared" si="5"/>
        <v>456670.22317747126</v>
      </c>
      <c r="N50">
        <f>N49*(1/(1+'Cost of Capital'!E$21))</f>
        <v>0.11707204551922455</v>
      </c>
      <c r="O50" s="4">
        <f t="shared" si="6"/>
        <v>53463.31715510735</v>
      </c>
      <c r="P50" s="1">
        <f t="shared" si="11"/>
        <v>6993954</v>
      </c>
      <c r="Q50" s="1">
        <f t="shared" si="7"/>
        <v>818796.5010473626</v>
      </c>
      <c r="S50" s="1">
        <f>+S49</f>
        <v>50000</v>
      </c>
      <c r="T50" s="1">
        <f t="shared" si="12"/>
        <v>5853.602275961228</v>
      </c>
      <c r="U50">
        <f t="shared" si="15"/>
        <v>32</v>
      </c>
      <c r="V50" s="30">
        <f t="shared" si="13"/>
        <v>-406670.22317747126</v>
      </c>
      <c r="W50" s="30">
        <f t="shared" si="14"/>
        <v>-47609.71487914612</v>
      </c>
    </row>
    <row r="51" spans="1:23" ht="12.75">
      <c r="A51">
        <f t="shared" si="8"/>
        <v>33</v>
      </c>
      <c r="B51" s="1">
        <f t="shared" si="9"/>
        <v>1618864.1773509104</v>
      </c>
      <c r="C51" s="1">
        <f t="shared" si="10"/>
        <v>1528961.3178343505</v>
      </c>
      <c r="D51" s="1">
        <f t="shared" si="0"/>
        <v>1573912.7475926303</v>
      </c>
      <c r="E51" s="1">
        <f>D51*SUM('Cost of Capital'!E$17:E$17)</f>
        <v>51152.164296760486</v>
      </c>
      <c r="F51" s="1">
        <f>D51*'Cost of Capital'!E$16</f>
        <v>78695.63737963152</v>
      </c>
      <c r="G51" s="1">
        <v>0</v>
      </c>
      <c r="H51" s="1">
        <f t="shared" si="1"/>
        <v>151173.46480000002</v>
      </c>
      <c r="I51" s="2">
        <f t="shared" si="2"/>
        <v>-61270.60528344</v>
      </c>
      <c r="J51" s="1">
        <f t="shared" si="3"/>
        <v>283501.76037698257</v>
      </c>
      <c r="K51" s="1">
        <f t="shared" si="4"/>
        <v>114903.26348079104</v>
      </c>
      <c r="L51" s="1">
        <f>(B$19-SUM(H$19:H50))*E$11</f>
        <v>47619.64141199995</v>
      </c>
      <c r="M51" s="1">
        <f t="shared" si="5"/>
        <v>443544.171369183</v>
      </c>
      <c r="N51">
        <f>N50*(1/(1+'Cost of Capital'!E$21))</f>
        <v>0.10948191096623515</v>
      </c>
      <c r="O51" s="4">
        <f t="shared" si="6"/>
        <v>48560.06347943344</v>
      </c>
      <c r="P51" s="1">
        <f t="shared" si="11"/>
        <v>6993954</v>
      </c>
      <c r="Q51" s="1">
        <f t="shared" si="7"/>
        <v>765711.4491299442</v>
      </c>
      <c r="S51" s="1">
        <f aca="true" t="shared" si="17" ref="S51:S68">+S50</f>
        <v>50000</v>
      </c>
      <c r="T51" s="1">
        <f t="shared" si="12"/>
        <v>5474.095548311758</v>
      </c>
      <c r="U51">
        <f t="shared" si="15"/>
        <v>33</v>
      </c>
      <c r="V51" s="30">
        <f t="shared" si="13"/>
        <v>-393544.171369183</v>
      </c>
      <c r="W51" s="30">
        <f t="shared" si="14"/>
        <v>-43085.96793112168</v>
      </c>
    </row>
    <row r="52" spans="1:23" ht="12.75">
      <c r="A52">
        <f t="shared" si="8"/>
        <v>34</v>
      </c>
      <c r="B52" s="1">
        <f t="shared" si="9"/>
        <v>1528961.3178343505</v>
      </c>
      <c r="C52" s="1">
        <f t="shared" si="10"/>
        <v>1439058.4583177906</v>
      </c>
      <c r="D52" s="1">
        <f t="shared" si="0"/>
        <v>1484009.8880760707</v>
      </c>
      <c r="E52" s="1">
        <f>D52*SUM('Cost of Capital'!E$17:E$17)</f>
        <v>48230.3213624723</v>
      </c>
      <c r="F52" s="1">
        <f>D52*'Cost of Capital'!E$16</f>
        <v>74200.49440380353</v>
      </c>
      <c r="G52" s="1">
        <v>0</v>
      </c>
      <c r="H52" s="1">
        <f t="shared" si="1"/>
        <v>151173.46480000002</v>
      </c>
      <c r="I52" s="2">
        <f t="shared" si="2"/>
        <v>-61270.60528344</v>
      </c>
      <c r="J52" s="1">
        <f t="shared" si="3"/>
        <v>275943.0871369826</v>
      </c>
      <c r="K52" s="1">
        <f t="shared" si="4"/>
        <v>111839.73321661905</v>
      </c>
      <c r="L52" s="1">
        <f>(B$19-SUM(H$19:H51))*E$11</f>
        <v>44974.10577799995</v>
      </c>
      <c r="M52" s="1">
        <f t="shared" si="5"/>
        <v>430418.11956089485</v>
      </c>
      <c r="N52">
        <f>N51*(1/(1+'Cost of Capital'!E$21))</f>
        <v>0.10238386777696094</v>
      </c>
      <c r="O52" s="4">
        <f t="shared" si="6"/>
        <v>44067.87184193083</v>
      </c>
      <c r="P52" s="1">
        <f t="shared" si="11"/>
        <v>6993954</v>
      </c>
      <c r="Q52" s="1">
        <f t="shared" si="7"/>
        <v>716068.0615741471</v>
      </c>
      <c r="S52" s="1">
        <f t="shared" si="17"/>
        <v>50000</v>
      </c>
      <c r="T52" s="1">
        <f t="shared" si="12"/>
        <v>5119.193388848047</v>
      </c>
      <c r="U52">
        <f t="shared" si="15"/>
        <v>34</v>
      </c>
      <c r="V52" s="30">
        <f t="shared" si="13"/>
        <v>-380418.11956089485</v>
      </c>
      <c r="W52" s="30">
        <f t="shared" si="14"/>
        <v>-38948.67845308278</v>
      </c>
    </row>
    <row r="53" spans="1:23" ht="12.75">
      <c r="A53">
        <f t="shared" si="8"/>
        <v>35</v>
      </c>
      <c r="B53" s="1">
        <f t="shared" si="9"/>
        <v>1439058.4583177906</v>
      </c>
      <c r="C53" s="1">
        <f t="shared" si="10"/>
        <v>1349155.5988012308</v>
      </c>
      <c r="D53" s="1">
        <f t="shared" si="0"/>
        <v>1394107.0285595106</v>
      </c>
      <c r="E53" s="1">
        <f>D53*SUM('Cost of Capital'!E$17:E$17)</f>
        <v>45308.4784281841</v>
      </c>
      <c r="F53" s="1">
        <f>D53*'Cost of Capital'!E$16</f>
        <v>69705.35142797553</v>
      </c>
      <c r="G53" s="1">
        <v>0</v>
      </c>
      <c r="H53" s="1">
        <f t="shared" si="1"/>
        <v>151173.46480000002</v>
      </c>
      <c r="I53" s="2">
        <f t="shared" si="2"/>
        <v>-61270.60528344</v>
      </c>
      <c r="J53" s="1">
        <f t="shared" si="3"/>
        <v>268384.41389698256</v>
      </c>
      <c r="K53" s="1">
        <f t="shared" si="4"/>
        <v>108776.20295244703</v>
      </c>
      <c r="L53" s="1">
        <f>(B$19-SUM(H$19:H52))*E$11</f>
        <v>42328.57014399995</v>
      </c>
      <c r="M53" s="1">
        <f t="shared" si="5"/>
        <v>417292.06775260664</v>
      </c>
      <c r="N53">
        <f>N52*(1/(1+'Cost of Capital'!E$21))</f>
        <v>0.09574601218098094</v>
      </c>
      <c r="O53" s="4">
        <f t="shared" si="6"/>
        <v>39954.0514020678</v>
      </c>
      <c r="P53" s="1">
        <f t="shared" si="11"/>
        <v>6993954</v>
      </c>
      <c r="Q53" s="1">
        <f t="shared" si="7"/>
        <v>669643.2048772204</v>
      </c>
      <c r="S53" s="1">
        <f t="shared" si="17"/>
        <v>50000</v>
      </c>
      <c r="T53" s="1">
        <f t="shared" si="12"/>
        <v>4787.300609049047</v>
      </c>
      <c r="U53">
        <f t="shared" si="15"/>
        <v>35</v>
      </c>
      <c r="V53" s="30">
        <f t="shared" si="13"/>
        <v>-367292.06775260664</v>
      </c>
      <c r="W53" s="30">
        <f t="shared" si="14"/>
        <v>-35166.75079301876</v>
      </c>
    </row>
    <row r="54" spans="1:23" ht="12.75">
      <c r="A54">
        <f t="shared" si="8"/>
        <v>36</v>
      </c>
      <c r="B54" s="1">
        <f t="shared" si="9"/>
        <v>1349155.5988012308</v>
      </c>
      <c r="C54" s="1">
        <f t="shared" si="10"/>
        <v>1259252.739284671</v>
      </c>
      <c r="D54" s="1">
        <f t="shared" si="0"/>
        <v>1304204.169042951</v>
      </c>
      <c r="E54" s="1">
        <f>D54*SUM('Cost of Capital'!E$17:E$17)</f>
        <v>42386.635493895905</v>
      </c>
      <c r="F54" s="1">
        <f>D54*'Cost of Capital'!E$16</f>
        <v>65210.20845214755</v>
      </c>
      <c r="G54" s="1">
        <v>0</v>
      </c>
      <c r="H54" s="1">
        <f t="shared" si="1"/>
        <v>151173.46480000002</v>
      </c>
      <c r="I54" s="2">
        <f t="shared" si="2"/>
        <v>-61270.60528344</v>
      </c>
      <c r="J54" s="1">
        <f t="shared" si="3"/>
        <v>260825.7406569826</v>
      </c>
      <c r="K54" s="1">
        <f t="shared" si="4"/>
        <v>105712.67268827505</v>
      </c>
      <c r="L54" s="1">
        <f>(B$19-SUM(H$19:H53))*E$11</f>
        <v>39683.03450999994</v>
      </c>
      <c r="M54" s="1">
        <f t="shared" si="5"/>
        <v>404166.0159443185</v>
      </c>
      <c r="N54">
        <f>N53*(1/(1+'Cost of Capital'!E$21))</f>
        <v>0.08953850882573743</v>
      </c>
      <c r="O54" s="4">
        <f t="shared" si="6"/>
        <v>36188.42238569349</v>
      </c>
      <c r="P54" s="1">
        <f t="shared" si="11"/>
        <v>6993954</v>
      </c>
      <c r="Q54" s="1">
        <f t="shared" si="7"/>
        <v>626228.2119558016</v>
      </c>
      <c r="S54" s="1">
        <f t="shared" si="17"/>
        <v>50000</v>
      </c>
      <c r="T54" s="1">
        <f t="shared" si="12"/>
        <v>4476.925441286871</v>
      </c>
      <c r="U54">
        <f t="shared" si="15"/>
        <v>36</v>
      </c>
      <c r="V54" s="30">
        <f t="shared" si="13"/>
        <v>-354166.0159443185</v>
      </c>
      <c r="W54" s="30">
        <f t="shared" si="14"/>
        <v>-31711.49694440662</v>
      </c>
    </row>
    <row r="55" spans="1:23" ht="12.75">
      <c r="A55">
        <f t="shared" si="8"/>
        <v>37</v>
      </c>
      <c r="B55" s="1">
        <f t="shared" si="9"/>
        <v>1259252.739284671</v>
      </c>
      <c r="C55" s="1">
        <f t="shared" si="10"/>
        <v>1169349.879768111</v>
      </c>
      <c r="D55" s="1">
        <f t="shared" si="0"/>
        <v>1214301.3095263909</v>
      </c>
      <c r="E55" s="1">
        <f>D55*SUM('Cost of Capital'!E$17:E$17)</f>
        <v>39464.792559607704</v>
      </c>
      <c r="F55" s="1">
        <f>D55*'Cost of Capital'!E$16</f>
        <v>60715.06547631955</v>
      </c>
      <c r="G55" s="1">
        <v>0</v>
      </c>
      <c r="H55" s="1">
        <f t="shared" si="1"/>
        <v>151173.46480000002</v>
      </c>
      <c r="I55" s="2">
        <f t="shared" si="2"/>
        <v>-61270.60528344</v>
      </c>
      <c r="J55" s="1">
        <f t="shared" si="3"/>
        <v>253267.0674169826</v>
      </c>
      <c r="K55" s="1">
        <f t="shared" si="4"/>
        <v>102649.14242410305</v>
      </c>
      <c r="L55" s="1">
        <f>(B$19-SUM(H$19:H54))*E$11</f>
        <v>37037.49887599994</v>
      </c>
      <c r="M55" s="1">
        <f t="shared" si="5"/>
        <v>391039.9641360303</v>
      </c>
      <c r="N55">
        <f>N54*(1/(1+'Cost of Capital'!E$21))</f>
        <v>0.08373345667475424</v>
      </c>
      <c r="O55" s="4">
        <f t="shared" si="6"/>
        <v>32743.127895081743</v>
      </c>
      <c r="P55" s="1">
        <f t="shared" si="11"/>
        <v>6993954</v>
      </c>
      <c r="Q55" s="1">
        <f t="shared" si="7"/>
        <v>585627.9442442241</v>
      </c>
      <c r="S55" s="1">
        <f t="shared" si="17"/>
        <v>50000</v>
      </c>
      <c r="T55" s="1">
        <f t="shared" si="12"/>
        <v>4186.672833737712</v>
      </c>
      <c r="U55">
        <f t="shared" si="15"/>
        <v>37</v>
      </c>
      <c r="V55" s="30">
        <f t="shared" si="13"/>
        <v>-341039.9641360303</v>
      </c>
      <c r="W55" s="30">
        <f t="shared" si="14"/>
        <v>-28556.45506134403</v>
      </c>
    </row>
    <row r="56" spans="1:23" ht="12.75">
      <c r="A56">
        <f t="shared" si="8"/>
        <v>38</v>
      </c>
      <c r="B56" s="1">
        <f t="shared" si="9"/>
        <v>1169349.879768111</v>
      </c>
      <c r="C56" s="1">
        <f t="shared" si="10"/>
        <v>1079447.0202515512</v>
      </c>
      <c r="D56" s="1">
        <f t="shared" si="0"/>
        <v>1124398.4500098312</v>
      </c>
      <c r="E56" s="1">
        <f>D56*SUM('Cost of Capital'!E$17:E$17)</f>
        <v>36542.94962531952</v>
      </c>
      <c r="F56" s="1">
        <f>D56*'Cost of Capital'!E$16</f>
        <v>56219.922500491564</v>
      </c>
      <c r="G56" s="1">
        <v>0</v>
      </c>
      <c r="H56" s="1">
        <f t="shared" si="1"/>
        <v>151173.46480000002</v>
      </c>
      <c r="I56" s="2">
        <f t="shared" si="2"/>
        <v>-61270.60528344</v>
      </c>
      <c r="J56" s="1">
        <f t="shared" si="3"/>
        <v>245708.3941769826</v>
      </c>
      <c r="K56" s="1">
        <f t="shared" si="4"/>
        <v>99585.61215993104</v>
      </c>
      <c r="L56" s="1">
        <f>(B$19-SUM(H$19:H55))*E$11</f>
        <v>34391.96324199993</v>
      </c>
      <c r="M56" s="1">
        <f t="shared" si="5"/>
        <v>377913.91232774203</v>
      </c>
      <c r="N56">
        <f>N55*(1/(1+'Cost of Capital'!E$21))</f>
        <v>0.07830476360007887</v>
      </c>
      <c r="O56" s="4">
        <f t="shared" si="6"/>
        <v>29592.459566004774</v>
      </c>
      <c r="P56" s="1">
        <f t="shared" si="11"/>
        <v>6993954</v>
      </c>
      <c r="Q56" s="1">
        <f t="shared" si="7"/>
        <v>547659.9145998261</v>
      </c>
      <c r="S56" s="1">
        <f t="shared" si="17"/>
        <v>50000</v>
      </c>
      <c r="T56" s="1">
        <f t="shared" si="12"/>
        <v>3915.238180003944</v>
      </c>
      <c r="U56">
        <f t="shared" si="15"/>
        <v>38</v>
      </c>
      <c r="V56" s="30">
        <f t="shared" si="13"/>
        <v>-327913.91232774203</v>
      </c>
      <c r="W56" s="30">
        <f t="shared" si="14"/>
        <v>-25677.22138600083</v>
      </c>
    </row>
    <row r="57" spans="1:23" ht="12.75">
      <c r="A57">
        <f t="shared" si="8"/>
        <v>39</v>
      </c>
      <c r="B57" s="1">
        <f t="shared" si="9"/>
        <v>1079447.0202515512</v>
      </c>
      <c r="C57" s="1">
        <f t="shared" si="10"/>
        <v>989544.1607349912</v>
      </c>
      <c r="D57" s="1">
        <f t="shared" si="0"/>
        <v>1034495.5904932711</v>
      </c>
      <c r="E57" s="1">
        <f>D57*SUM('Cost of Capital'!E$17:E$17)</f>
        <v>33621.10669103131</v>
      </c>
      <c r="F57" s="1">
        <f>D57*'Cost of Capital'!E$16</f>
        <v>51724.77952466356</v>
      </c>
      <c r="G57" s="1">
        <v>0</v>
      </c>
      <c r="H57" s="1">
        <f t="shared" si="1"/>
        <v>151173.46480000002</v>
      </c>
      <c r="I57" s="2">
        <f t="shared" si="2"/>
        <v>-61270.60528344</v>
      </c>
      <c r="J57" s="1">
        <f t="shared" si="3"/>
        <v>238149.72093698263</v>
      </c>
      <c r="K57" s="1">
        <f t="shared" si="4"/>
        <v>96522.08189575905</v>
      </c>
      <c r="L57" s="1">
        <f>(B$19-SUM(H$19:H56))*E$11</f>
        <v>31746.42760799993</v>
      </c>
      <c r="M57" s="1">
        <f t="shared" si="5"/>
        <v>364787.8605194539</v>
      </c>
      <c r="N57">
        <f>N56*(1/(1+'Cost of Capital'!E$21))</f>
        <v>0.07322802910527561</v>
      </c>
      <c r="O57" s="4">
        <f t="shared" si="6"/>
        <v>26712.696067369787</v>
      </c>
      <c r="P57" s="1">
        <f t="shared" si="11"/>
        <v>6993954</v>
      </c>
      <c r="Q57" s="1">
        <f t="shared" si="7"/>
        <v>512153.46707295877</v>
      </c>
      <c r="S57" s="1">
        <f t="shared" si="17"/>
        <v>50000</v>
      </c>
      <c r="T57" s="1">
        <f t="shared" si="12"/>
        <v>3661.4014552637805</v>
      </c>
      <c r="U57">
        <f t="shared" si="15"/>
        <v>39</v>
      </c>
      <c r="V57" s="30">
        <f t="shared" si="13"/>
        <v>-314787.8605194539</v>
      </c>
      <c r="W57" s="30">
        <f t="shared" si="14"/>
        <v>-23051.294612106005</v>
      </c>
    </row>
    <row r="58" spans="1:23" ht="12.75">
      <c r="A58">
        <f t="shared" si="8"/>
        <v>40</v>
      </c>
      <c r="B58" s="1">
        <f t="shared" si="9"/>
        <v>989544.1607349912</v>
      </c>
      <c r="C58" s="1">
        <f t="shared" si="10"/>
        <v>899641.3012184311</v>
      </c>
      <c r="D58" s="1">
        <f t="shared" si="0"/>
        <v>944592.7309767111</v>
      </c>
      <c r="E58" s="1">
        <f>D58*SUM('Cost of Capital'!E$17:E$17)</f>
        <v>30699.263756743112</v>
      </c>
      <c r="F58" s="1">
        <f>D58*'Cost of Capital'!E$16</f>
        <v>47229.63654883556</v>
      </c>
      <c r="G58" s="1">
        <v>0</v>
      </c>
      <c r="H58" s="1">
        <f t="shared" si="1"/>
        <v>151173.46480000002</v>
      </c>
      <c r="I58" s="2">
        <f t="shared" si="2"/>
        <v>-61270.60528344</v>
      </c>
      <c r="J58" s="1">
        <f t="shared" si="3"/>
        <v>230591.04769698263</v>
      </c>
      <c r="K58" s="1">
        <f t="shared" si="4"/>
        <v>93458.55163158706</v>
      </c>
      <c r="L58" s="1">
        <f>(B$19-SUM(H$19:H57))*E$11</f>
        <v>29100.891973999926</v>
      </c>
      <c r="M58" s="1">
        <f t="shared" si="5"/>
        <v>351661.8087111657</v>
      </c>
      <c r="N58">
        <f>N57*(1/(1+'Cost of Capital'!E$21))</f>
        <v>0.06848043465184141</v>
      </c>
      <c r="O58" s="4">
        <f t="shared" si="6"/>
        <v>24081.953510993335</v>
      </c>
      <c r="P58" s="1">
        <f t="shared" si="11"/>
        <v>6993954</v>
      </c>
      <c r="Q58" s="1">
        <f t="shared" si="7"/>
        <v>478949.0098549848</v>
      </c>
      <c r="S58" s="1">
        <f t="shared" si="17"/>
        <v>50000</v>
      </c>
      <c r="T58" s="1">
        <f t="shared" si="12"/>
        <v>3424.0217325920703</v>
      </c>
      <c r="U58">
        <f t="shared" si="15"/>
        <v>40</v>
      </c>
      <c r="V58" s="30">
        <f t="shared" si="13"/>
        <v>-301661.8087111657</v>
      </c>
      <c r="W58" s="30">
        <f t="shared" si="14"/>
        <v>-20657.931778401264</v>
      </c>
    </row>
    <row r="59" spans="1:23" ht="12.75">
      <c r="A59">
        <f t="shared" si="8"/>
        <v>41</v>
      </c>
      <c r="B59" s="1">
        <f aca="true" t="shared" si="18" ref="B59:B68">C58</f>
        <v>899641.3012184311</v>
      </c>
      <c r="C59" s="1">
        <f aca="true" t="shared" si="19" ref="C59:C68">C58-H59-I59</f>
        <v>809738.441701871</v>
      </c>
      <c r="D59" s="1">
        <f aca="true" t="shared" si="20" ref="D59:D68">AVERAGE(B59:C59)</f>
        <v>854689.871460151</v>
      </c>
      <c r="E59" s="1">
        <f>D59*SUM('Cost of Capital'!E$17:E$17)</f>
        <v>27777.42082245491</v>
      </c>
      <c r="F59" s="1">
        <f>D59*'Cost of Capital'!E$16</f>
        <v>42734.49357300755</v>
      </c>
      <c r="G59" s="1">
        <v>0</v>
      </c>
      <c r="H59" s="1">
        <f aca="true" t="shared" si="21" ref="H59:H68">E$9/E$10</f>
        <v>151173.46480000002</v>
      </c>
      <c r="I59" s="2">
        <f aca="true" t="shared" si="22" ref="I59:I68">(G59-H59)*E$13</f>
        <v>-61270.60528344</v>
      </c>
      <c r="J59" s="1">
        <f aca="true" t="shared" si="23" ref="J59:J68">(+F59+H59-G59+I59)/(1-E$13)</f>
        <v>223032.37445698262</v>
      </c>
      <c r="K59" s="1">
        <f aca="true" t="shared" si="24" ref="K59:K68">J59*E$13</f>
        <v>90395.02136741506</v>
      </c>
      <c r="L59" s="1">
        <f>(B$19-SUM(H$19:H58))*E$11</f>
        <v>26455.356339999922</v>
      </c>
      <c r="M59" s="1">
        <f aca="true" t="shared" si="25" ref="M59:M68">SUM(E59:F59,H59,K59:L59)</f>
        <v>338535.7569028775</v>
      </c>
      <c r="N59">
        <f>N58*(1/(1+'Cost of Capital'!E$21))</f>
        <v>0.06404064109609182</v>
      </c>
      <c r="O59" s="4">
        <f aca="true" t="shared" si="26" ref="O59:O68">M59*N59</f>
        <v>21680.046906010968</v>
      </c>
      <c r="P59" s="1">
        <f t="shared" si="11"/>
        <v>6993954</v>
      </c>
      <c r="Q59" s="1">
        <f aca="true" t="shared" si="27" ref="Q59:Q68">P59*N59</f>
        <v>447897.2979565758</v>
      </c>
      <c r="S59" s="1">
        <f t="shared" si="17"/>
        <v>50000</v>
      </c>
      <c r="T59" s="1">
        <f aca="true" t="shared" si="28" ref="T59:T68">+S59*N59</f>
        <v>3202.032054804591</v>
      </c>
      <c r="U59">
        <f t="shared" si="15"/>
        <v>41</v>
      </c>
      <c r="V59" s="30">
        <f t="shared" si="13"/>
        <v>-288535.7569028775</v>
      </c>
      <c r="W59" s="30">
        <f t="shared" si="14"/>
        <v>-18478.014851206375</v>
      </c>
    </row>
    <row r="60" spans="1:23" ht="12.75">
      <c r="A60">
        <f t="shared" si="8"/>
        <v>42</v>
      </c>
      <c r="B60" s="1">
        <f t="shared" si="18"/>
        <v>809738.441701871</v>
      </c>
      <c r="C60" s="1">
        <f t="shared" si="19"/>
        <v>719835.5821853109</v>
      </c>
      <c r="D60" s="1">
        <f t="shared" si="20"/>
        <v>764787.011943591</v>
      </c>
      <c r="E60" s="1">
        <f>D60*SUM('Cost of Capital'!E$17:E$17)</f>
        <v>24855.577888166707</v>
      </c>
      <c r="F60" s="1">
        <f>D60*'Cost of Capital'!E$16</f>
        <v>38239.350597179546</v>
      </c>
      <c r="G60" s="1">
        <v>0</v>
      </c>
      <c r="H60" s="1">
        <f t="shared" si="21"/>
        <v>151173.46480000002</v>
      </c>
      <c r="I60" s="2">
        <f t="shared" si="22"/>
        <v>-61270.60528344</v>
      </c>
      <c r="J60" s="1">
        <f t="shared" si="23"/>
        <v>215473.70121698262</v>
      </c>
      <c r="K60" s="1">
        <f t="shared" si="24"/>
        <v>87331.49110324305</v>
      </c>
      <c r="L60" s="1">
        <f>(B$19-SUM(H$19:H59))*E$11</f>
        <v>23809.82070599992</v>
      </c>
      <c r="M60" s="1">
        <f t="shared" si="25"/>
        <v>325409.7050945892</v>
      </c>
      <c r="N60">
        <f>N59*(1/(1+'Cost of Capital'!E$21))</f>
        <v>0.05988869277552352</v>
      </c>
      <c r="O60" s="4">
        <f t="shared" si="26"/>
        <v>19488.361854583563</v>
      </c>
      <c r="P60" s="1">
        <f t="shared" si="11"/>
        <v>6993954</v>
      </c>
      <c r="Q60" s="1">
        <f t="shared" si="27"/>
        <v>418858.76239214384</v>
      </c>
      <c r="S60" s="1">
        <f t="shared" si="17"/>
        <v>50000</v>
      </c>
      <c r="T60" s="1">
        <f t="shared" si="28"/>
        <v>2994.434638776176</v>
      </c>
      <c r="U60">
        <f t="shared" si="15"/>
        <v>42</v>
      </c>
      <c r="V60" s="30">
        <f t="shared" si="13"/>
        <v>-275409.7050945892</v>
      </c>
      <c r="W60" s="30">
        <f t="shared" si="14"/>
        <v>-16493.927215807387</v>
      </c>
    </row>
    <row r="61" spans="1:23" ht="12.75">
      <c r="A61">
        <f t="shared" si="8"/>
        <v>43</v>
      </c>
      <c r="B61" s="1">
        <f t="shared" si="18"/>
        <v>719835.5821853109</v>
      </c>
      <c r="C61" s="1">
        <f t="shared" si="19"/>
        <v>629932.7226687508</v>
      </c>
      <c r="D61" s="1">
        <f t="shared" si="20"/>
        <v>674884.1524270308</v>
      </c>
      <c r="E61" s="1">
        <f>D61*SUM('Cost of Capital'!E$17:E$17)</f>
        <v>21933.734953878502</v>
      </c>
      <c r="F61" s="1">
        <f>D61*'Cost of Capital'!E$16</f>
        <v>33744.20762135155</v>
      </c>
      <c r="G61" s="1">
        <v>0</v>
      </c>
      <c r="H61" s="1">
        <f t="shared" si="21"/>
        <v>151173.46480000002</v>
      </c>
      <c r="I61" s="2">
        <f t="shared" si="22"/>
        <v>-61270.60528344</v>
      </c>
      <c r="J61" s="1">
        <f t="shared" si="23"/>
        <v>207915.02797698262</v>
      </c>
      <c r="K61" s="1">
        <f t="shared" si="24"/>
        <v>84267.96083907105</v>
      </c>
      <c r="L61" s="1">
        <f>(B$19-SUM(H$19:H60))*E$11</f>
        <v>21164.285071999915</v>
      </c>
      <c r="M61" s="1">
        <f t="shared" si="25"/>
        <v>312283.653286301</v>
      </c>
      <c r="N61">
        <f>N60*(1/(1+'Cost of Capital'!E$21))</f>
        <v>0.05600592781354783</v>
      </c>
      <c r="O61" s="4">
        <f t="shared" si="26"/>
        <v>17489.735743303572</v>
      </c>
      <c r="P61" s="1">
        <f t="shared" si="11"/>
        <v>6993954</v>
      </c>
      <c r="Q61" s="1">
        <f t="shared" si="27"/>
        <v>391702.8828552741</v>
      </c>
      <c r="S61" s="1">
        <f t="shared" si="17"/>
        <v>50000</v>
      </c>
      <c r="T61" s="1">
        <f t="shared" si="28"/>
        <v>2800.2963906773916</v>
      </c>
      <c r="U61">
        <f t="shared" si="15"/>
        <v>43</v>
      </c>
      <c r="V61" s="30">
        <f t="shared" si="13"/>
        <v>-262283.653286301</v>
      </c>
      <c r="W61" s="30">
        <f t="shared" si="14"/>
        <v>-14689.439352626181</v>
      </c>
    </row>
    <row r="62" spans="1:23" ht="12.75">
      <c r="A62">
        <f t="shared" si="8"/>
        <v>44</v>
      </c>
      <c r="B62" s="1">
        <f t="shared" si="18"/>
        <v>629932.7226687508</v>
      </c>
      <c r="C62" s="1">
        <f t="shared" si="19"/>
        <v>540029.8631521908</v>
      </c>
      <c r="D62" s="1">
        <f t="shared" si="20"/>
        <v>584981.2929104709</v>
      </c>
      <c r="E62" s="1">
        <f>D62*SUM('Cost of Capital'!E$17:E$17)</f>
        <v>19011.892019590305</v>
      </c>
      <c r="F62" s="1">
        <f>D62*'Cost of Capital'!E$16</f>
        <v>29249.064645523544</v>
      </c>
      <c r="G62" s="1">
        <v>0</v>
      </c>
      <c r="H62" s="1">
        <f t="shared" si="21"/>
        <v>151173.46480000002</v>
      </c>
      <c r="I62" s="2">
        <f t="shared" si="22"/>
        <v>-61270.60528344</v>
      </c>
      <c r="J62" s="1">
        <f t="shared" si="23"/>
        <v>200356.3547369826</v>
      </c>
      <c r="K62" s="1">
        <f t="shared" si="24"/>
        <v>81204.43057489904</v>
      </c>
      <c r="L62" s="1">
        <f>(B$19-SUM(H$19:H61))*E$11</f>
        <v>18518.74943799991</v>
      </c>
      <c r="M62" s="1">
        <f t="shared" si="25"/>
        <v>299157.60147801286</v>
      </c>
      <c r="N62">
        <f>N61*(1/(1+'Cost of Capital'!E$21))</f>
        <v>0.05237489423943953</v>
      </c>
      <c r="O62" s="4">
        <f t="shared" si="26"/>
        <v>15668.347738335322</v>
      </c>
      <c r="P62" s="1">
        <f t="shared" si="11"/>
        <v>6993954</v>
      </c>
      <c r="Q62" s="1">
        <f t="shared" si="27"/>
        <v>366307.60106550506</v>
      </c>
      <c r="S62" s="1">
        <f t="shared" si="17"/>
        <v>50000</v>
      </c>
      <c r="T62" s="1">
        <f t="shared" si="28"/>
        <v>2618.7447119719764</v>
      </c>
      <c r="U62">
        <f t="shared" si="15"/>
        <v>44</v>
      </c>
      <c r="V62" s="30">
        <f t="shared" si="13"/>
        <v>-249157.60147801286</v>
      </c>
      <c r="W62" s="30">
        <f t="shared" si="14"/>
        <v>-13049.603026363346</v>
      </c>
    </row>
    <row r="63" spans="1:23" ht="12.75">
      <c r="A63">
        <f t="shared" si="8"/>
        <v>45</v>
      </c>
      <c r="B63" s="1">
        <f t="shared" si="18"/>
        <v>540029.8631521908</v>
      </c>
      <c r="C63" s="1">
        <f t="shared" si="19"/>
        <v>450127.0036356308</v>
      </c>
      <c r="D63" s="1">
        <f t="shared" si="20"/>
        <v>495078.4333939108</v>
      </c>
      <c r="E63" s="1">
        <f>D63*SUM('Cost of Capital'!E$17:E$17)</f>
        <v>16090.049085302102</v>
      </c>
      <c r="F63" s="1">
        <f>D63*'Cost of Capital'!E$16</f>
        <v>24753.92166969554</v>
      </c>
      <c r="G63" s="1">
        <v>0</v>
      </c>
      <c r="H63" s="1">
        <f t="shared" si="21"/>
        <v>151173.46480000002</v>
      </c>
      <c r="I63" s="2">
        <f t="shared" si="22"/>
        <v>-61270.60528344</v>
      </c>
      <c r="J63" s="1">
        <f t="shared" si="23"/>
        <v>192797.68149698258</v>
      </c>
      <c r="K63" s="1">
        <f t="shared" si="24"/>
        <v>78140.90031072704</v>
      </c>
      <c r="L63" s="1">
        <f>(B$19-SUM(H$19:H62))*E$11</f>
        <v>15873.213803999908</v>
      </c>
      <c r="M63" s="1">
        <f t="shared" si="25"/>
        <v>286031.5496697246</v>
      </c>
      <c r="N63">
        <f>N62*(1/(1+'Cost of Capital'!E$21))</f>
        <v>0.04897927154648285</v>
      </c>
      <c r="O63" s="4">
        <f t="shared" si="26"/>
        <v>14009.616942134739</v>
      </c>
      <c r="P63" s="1">
        <f t="shared" si="11"/>
        <v>6993954</v>
      </c>
      <c r="Q63" s="1">
        <f t="shared" si="27"/>
        <v>342558.7721496099</v>
      </c>
      <c r="S63" s="1">
        <f t="shared" si="17"/>
        <v>50000</v>
      </c>
      <c r="T63" s="1">
        <f t="shared" si="28"/>
        <v>2448.9635773241425</v>
      </c>
      <c r="U63">
        <f t="shared" si="15"/>
        <v>45</v>
      </c>
      <c r="V63" s="30">
        <f t="shared" si="13"/>
        <v>-236031.5496697246</v>
      </c>
      <c r="W63" s="30">
        <f t="shared" si="14"/>
        <v>-11560.653364810596</v>
      </c>
    </row>
    <row r="64" spans="1:23" ht="12.75">
      <c r="A64">
        <f t="shared" si="8"/>
        <v>46</v>
      </c>
      <c r="B64" s="1">
        <f t="shared" si="18"/>
        <v>450127.0036356308</v>
      </c>
      <c r="C64" s="1">
        <f t="shared" si="19"/>
        <v>360224.14411907084</v>
      </c>
      <c r="D64" s="1">
        <f t="shared" si="20"/>
        <v>405175.57387735083</v>
      </c>
      <c r="E64" s="1">
        <f>D64*SUM('Cost of Capital'!E$17:E$17)</f>
        <v>13168.206151013903</v>
      </c>
      <c r="F64" s="1">
        <f>D64*'Cost of Capital'!E$16</f>
        <v>20258.77869386754</v>
      </c>
      <c r="G64" s="1">
        <v>0</v>
      </c>
      <c r="H64" s="1">
        <f t="shared" si="21"/>
        <v>151173.46480000002</v>
      </c>
      <c r="I64" s="2">
        <f t="shared" si="22"/>
        <v>-61270.60528344</v>
      </c>
      <c r="J64" s="1">
        <f t="shared" si="23"/>
        <v>185239.00825698263</v>
      </c>
      <c r="K64" s="1">
        <f t="shared" si="24"/>
        <v>75077.37004655506</v>
      </c>
      <c r="L64" s="1">
        <f>(B$19-SUM(H$19:H63))*E$11</f>
        <v>13227.678169999905</v>
      </c>
      <c r="M64" s="1">
        <f t="shared" si="25"/>
        <v>272905.49786143645</v>
      </c>
      <c r="N64">
        <f>N63*(1/(1+'Cost of Capital'!E$21))</f>
        <v>0.04580379733574</v>
      </c>
      <c r="O64" s="4">
        <f t="shared" si="26"/>
        <v>12500.10811585446</v>
      </c>
      <c r="P64" s="1">
        <f t="shared" si="11"/>
        <v>6993954</v>
      </c>
      <c r="Q64" s="1">
        <f t="shared" si="27"/>
        <v>320349.6515914881</v>
      </c>
      <c r="S64" s="1">
        <f t="shared" si="17"/>
        <v>50000</v>
      </c>
      <c r="T64" s="1">
        <f t="shared" si="28"/>
        <v>2290.189866787</v>
      </c>
      <c r="U64">
        <f t="shared" si="15"/>
        <v>46</v>
      </c>
      <c r="V64" s="30">
        <f t="shared" si="13"/>
        <v>-222905.49786143645</v>
      </c>
      <c r="W64" s="30">
        <f t="shared" si="14"/>
        <v>-10209.918249067461</v>
      </c>
    </row>
    <row r="65" spans="1:23" ht="12.75">
      <c r="A65">
        <f t="shared" si="8"/>
        <v>47</v>
      </c>
      <c r="B65" s="1">
        <f t="shared" si="18"/>
        <v>360224.14411907084</v>
      </c>
      <c r="C65" s="1">
        <f t="shared" si="19"/>
        <v>270321.28460251086</v>
      </c>
      <c r="D65" s="1">
        <f t="shared" si="20"/>
        <v>315272.71436079085</v>
      </c>
      <c r="E65" s="1">
        <f>D65*SUM('Cost of Capital'!E$17:E$17)</f>
        <v>10246.363216725704</v>
      </c>
      <c r="F65" s="1">
        <f>D65*'Cost of Capital'!E$16</f>
        <v>15763.635718039543</v>
      </c>
      <c r="G65" s="1">
        <v>0</v>
      </c>
      <c r="H65" s="1">
        <f t="shared" si="21"/>
        <v>151173.46480000002</v>
      </c>
      <c r="I65" s="2">
        <f t="shared" si="22"/>
        <v>-61270.60528344</v>
      </c>
      <c r="J65" s="1">
        <f t="shared" si="23"/>
        <v>177680.33501698257</v>
      </c>
      <c r="K65" s="1">
        <f t="shared" si="24"/>
        <v>72013.83978238303</v>
      </c>
      <c r="L65" s="1">
        <f>(B$19-SUM(H$19:H64))*E$11</f>
        <v>10582.142535999901</v>
      </c>
      <c r="M65" s="1">
        <f t="shared" si="25"/>
        <v>259779.4460531482</v>
      </c>
      <c r="N65">
        <f>N64*(1/(1+'Cost of Capital'!E$21))</f>
        <v>0.04283419871572584</v>
      </c>
      <c r="O65" s="4">
        <f t="shared" si="26"/>
        <v>11127.44441450173</v>
      </c>
      <c r="P65" s="1">
        <f t="shared" si="11"/>
        <v>6993954</v>
      </c>
      <c r="Q65" s="1">
        <f t="shared" si="27"/>
        <v>299580.41544464557</v>
      </c>
      <c r="S65" s="1">
        <f t="shared" si="17"/>
        <v>50000</v>
      </c>
      <c r="T65" s="1">
        <f t="shared" si="28"/>
        <v>2141.7099357862917</v>
      </c>
      <c r="U65">
        <f t="shared" si="15"/>
        <v>47</v>
      </c>
      <c r="V65" s="30">
        <f t="shared" si="13"/>
        <v>-209779.4460531482</v>
      </c>
      <c r="W65" s="30">
        <f t="shared" si="14"/>
        <v>-8985.734478715438</v>
      </c>
    </row>
    <row r="66" spans="1:23" ht="12.75">
      <c r="A66">
        <f t="shared" si="8"/>
        <v>48</v>
      </c>
      <c r="B66" s="1">
        <f t="shared" si="18"/>
        <v>270321.28460251086</v>
      </c>
      <c r="C66" s="1">
        <f t="shared" si="19"/>
        <v>180418.42508595085</v>
      </c>
      <c r="D66" s="1">
        <f t="shared" si="20"/>
        <v>225369.85484423087</v>
      </c>
      <c r="E66" s="1">
        <f>D66*SUM('Cost of Capital'!E$17:E$17)</f>
        <v>7324.520282437504</v>
      </c>
      <c r="F66" s="1">
        <f>D66*'Cost of Capital'!E$16</f>
        <v>11268.492742211543</v>
      </c>
      <c r="G66" s="1">
        <v>0</v>
      </c>
      <c r="H66" s="1">
        <f t="shared" si="21"/>
        <v>151173.46480000002</v>
      </c>
      <c r="I66" s="2">
        <f t="shared" si="22"/>
        <v>-61270.60528344</v>
      </c>
      <c r="J66" s="1">
        <f t="shared" si="23"/>
        <v>170121.66177698263</v>
      </c>
      <c r="K66" s="1">
        <f t="shared" si="24"/>
        <v>68950.30951821106</v>
      </c>
      <c r="L66" s="1">
        <f>(B$19-SUM(H$19:H65))*E$11</f>
        <v>7936.606901999897</v>
      </c>
      <c r="M66" s="1">
        <f t="shared" si="25"/>
        <v>246653.39424486</v>
      </c>
      <c r="N66">
        <f>N65*(1/(1+'Cost of Capital'!E$21))</f>
        <v>0.040057128149649006</v>
      </c>
      <c r="O66" s="4">
        <f t="shared" si="26"/>
        <v>9880.226621812257</v>
      </c>
      <c r="P66" s="1">
        <f t="shared" si="11"/>
        <v>6993954</v>
      </c>
      <c r="Q66" s="1">
        <f t="shared" si="27"/>
        <v>280157.71165075025</v>
      </c>
      <c r="S66" s="1">
        <f t="shared" si="17"/>
        <v>50000</v>
      </c>
      <c r="T66" s="1">
        <f t="shared" si="28"/>
        <v>2002.8564074824503</v>
      </c>
      <c r="U66">
        <f t="shared" si="15"/>
        <v>48</v>
      </c>
      <c r="V66" s="30">
        <f t="shared" si="13"/>
        <v>-196653.39424486</v>
      </c>
      <c r="W66" s="30">
        <f t="shared" si="14"/>
        <v>-7877.370214329807</v>
      </c>
    </row>
    <row r="67" spans="1:23" ht="12.75">
      <c r="A67">
        <f t="shared" si="8"/>
        <v>49</v>
      </c>
      <c r="B67" s="1">
        <f t="shared" si="18"/>
        <v>180418.42508595085</v>
      </c>
      <c r="C67" s="1">
        <f t="shared" si="19"/>
        <v>90515.56556939083</v>
      </c>
      <c r="D67" s="1">
        <f t="shared" si="20"/>
        <v>135466.99532767083</v>
      </c>
      <c r="E67" s="1">
        <f>D67*SUM('Cost of Capital'!E$17:E$17)</f>
        <v>4402.677348149302</v>
      </c>
      <c r="F67" s="1">
        <f>D67*'Cost of Capital'!E$16</f>
        <v>6773.3497663835415</v>
      </c>
      <c r="G67" s="1">
        <v>0</v>
      </c>
      <c r="H67" s="1">
        <f t="shared" si="21"/>
        <v>151173.46480000002</v>
      </c>
      <c r="I67" s="2">
        <f t="shared" si="22"/>
        <v>-61270.60528344</v>
      </c>
      <c r="J67" s="1">
        <f t="shared" si="23"/>
        <v>162562.9885369826</v>
      </c>
      <c r="K67" s="1">
        <f t="shared" si="24"/>
        <v>65886.77925403905</v>
      </c>
      <c r="L67" s="1">
        <f>(B$19-SUM(H$19:H66))*E$11</f>
        <v>5291.071267999893</v>
      </c>
      <c r="M67" s="1">
        <f t="shared" si="25"/>
        <v>233527.34243657178</v>
      </c>
      <c r="N67">
        <f>N66*(1/(1+'Cost of Capital'!E$21))</f>
        <v>0.03746010346187033</v>
      </c>
      <c r="O67" s="4">
        <f t="shared" si="26"/>
        <v>8747.9584088496</v>
      </c>
      <c r="P67" s="1">
        <f t="shared" si="11"/>
        <v>6993954</v>
      </c>
      <c r="Q67" s="1">
        <f t="shared" si="27"/>
        <v>261994.24044756184</v>
      </c>
      <c r="S67" s="1">
        <f t="shared" si="17"/>
        <v>50000</v>
      </c>
      <c r="T67" s="1">
        <f t="shared" si="28"/>
        <v>1873.0051730935163</v>
      </c>
      <c r="U67">
        <f t="shared" si="15"/>
        <v>49</v>
      </c>
      <c r="V67" s="30">
        <f t="shared" si="13"/>
        <v>-183527.34243657178</v>
      </c>
      <c r="W67" s="30">
        <f t="shared" si="14"/>
        <v>-6874.953235756083</v>
      </c>
    </row>
    <row r="68" spans="1:23" ht="12.75">
      <c r="A68">
        <f t="shared" si="8"/>
        <v>50</v>
      </c>
      <c r="B68" s="1">
        <f t="shared" si="18"/>
        <v>90515.56556939083</v>
      </c>
      <c r="C68" s="1">
        <f t="shared" si="19"/>
        <v>612.7060528308211</v>
      </c>
      <c r="D68" s="1">
        <f t="shared" si="20"/>
        <v>45564.13581111083</v>
      </c>
      <c r="E68" s="1">
        <f>D68*SUM('Cost of Capital'!E$17:E$17)</f>
        <v>1480.834413861102</v>
      </c>
      <c r="F68" s="1">
        <f>D68*'Cost of Capital'!E$16</f>
        <v>2278.2067905555414</v>
      </c>
      <c r="G68" s="1">
        <v>0</v>
      </c>
      <c r="H68" s="1">
        <f t="shared" si="21"/>
        <v>151173.46480000002</v>
      </c>
      <c r="I68" s="2">
        <f t="shared" si="22"/>
        <v>-61270.60528344</v>
      </c>
      <c r="J68" s="1">
        <f t="shared" si="23"/>
        <v>155004.3152969826</v>
      </c>
      <c r="K68" s="1">
        <f t="shared" si="24"/>
        <v>62823.24898986704</v>
      </c>
      <c r="L68" s="1">
        <f>(B$19-SUM(H$19:H67))*E$11</f>
        <v>2645.5356339998893</v>
      </c>
      <c r="M68" s="1">
        <f t="shared" si="25"/>
        <v>220401.29062828358</v>
      </c>
      <c r="N68">
        <f>N67*(1/(1+'Cost of Capital'!E$21))</f>
        <v>0.035031451733923795</v>
      </c>
      <c r="O68" s="4">
        <f t="shared" si="26"/>
        <v>7720.977174739227</v>
      </c>
      <c r="P68" s="1">
        <f t="shared" si="11"/>
        <v>6993954</v>
      </c>
      <c r="Q68" s="1">
        <f t="shared" si="27"/>
        <v>245008.36198028325</v>
      </c>
      <c r="S68" s="1">
        <f t="shared" si="17"/>
        <v>50000</v>
      </c>
      <c r="T68" s="1">
        <f t="shared" si="28"/>
        <v>1751.5725866961898</v>
      </c>
      <c r="U68">
        <f t="shared" si="15"/>
        <v>50</v>
      </c>
      <c r="V68" s="30">
        <f t="shared" si="13"/>
        <v>-170401.29062828358</v>
      </c>
      <c r="W68" s="30">
        <f t="shared" si="14"/>
        <v>-5969.404588043037</v>
      </c>
    </row>
    <row r="69" spans="12:23" ht="12.75">
      <c r="L69" s="1"/>
      <c r="M69" s="1"/>
      <c r="S69" s="1"/>
      <c r="T69" s="1"/>
      <c r="V69" s="30"/>
      <c r="W69" s="30"/>
    </row>
    <row r="70" spans="5:23" ht="12.75">
      <c r="E70" s="1">
        <f>SUM(E19:E68)</f>
        <v>4615542.682934036</v>
      </c>
      <c r="F70" s="1">
        <f>SUM(F19:F68)</f>
        <v>7100834.896821588</v>
      </c>
      <c r="G70" s="1">
        <f>SUM(G19:G68)</f>
        <v>7557161.505351996</v>
      </c>
      <c r="H70" s="1">
        <f>SUM(H19:H68)</f>
        <v>7558673.240000007</v>
      </c>
      <c r="I70" s="1">
        <f>SUM(I19:I68)</f>
        <v>-612.7060528361762</v>
      </c>
      <c r="K70" s="1">
        <f>SUM(K19:K68)</f>
        <v>4839974.373585693</v>
      </c>
      <c r="L70" s="1">
        <f>SUM(L19:L68)</f>
        <v>3373057.933349998</v>
      </c>
      <c r="M70" s="1">
        <f>SUM(M19:M68)</f>
        <v>27488083.126691323</v>
      </c>
      <c r="O70" s="1">
        <f>SUM(O19:O68)</f>
        <v>10278010.473873815</v>
      </c>
      <c r="P70" s="1">
        <v>6993954</v>
      </c>
      <c r="Q70" s="1">
        <f>SUM(Q19:Q58)</f>
        <v>93973985.74373198</v>
      </c>
      <c r="R70" s="22" t="s">
        <v>32</v>
      </c>
      <c r="S70" s="1">
        <f>SUM(S19:S68)</f>
        <v>21535000</v>
      </c>
      <c r="T70" s="1">
        <f>SUM(T19:T68)</f>
        <v>10908663.65221372</v>
      </c>
      <c r="V70" s="2">
        <f>SUM(V19:V68)</f>
        <v>-5953083.126691323</v>
      </c>
      <c r="W70" s="2">
        <f>SUM(W19:W68)</f>
        <v>630653.1783399074</v>
      </c>
    </row>
    <row r="71" ht="12.75" hidden="1">
      <c r="M71" s="3"/>
    </row>
    <row r="72" spans="18:20" ht="12.75" hidden="1">
      <c r="R72" s="22" t="s">
        <v>58</v>
      </c>
      <c r="S72" s="2">
        <f>+M70</f>
        <v>27488083.126691323</v>
      </c>
      <c r="T72" s="2">
        <f>+O70</f>
        <v>10278010.473873815</v>
      </c>
    </row>
    <row r="73" ht="12.75" hidden="1"/>
    <row r="74" spans="18:20" ht="12.75" hidden="1">
      <c r="R74" t="s">
        <v>33</v>
      </c>
      <c r="S74" s="1">
        <f>+S70-S72</f>
        <v>-5953083.126691323</v>
      </c>
      <c r="T74" s="1">
        <f>+T70-T72</f>
        <v>630653.178339906</v>
      </c>
    </row>
  </sheetData>
  <sheetProtection/>
  <mergeCells count="4">
    <mergeCell ref="A3:W3"/>
    <mergeCell ref="M15:O15"/>
    <mergeCell ref="S15:T15"/>
    <mergeCell ref="A4:W4"/>
  </mergeCells>
  <printOptions/>
  <pageMargins left="0.25" right="0.25" top="0.25" bottom="0.25" header="0.5" footer="0.5"/>
  <pageSetup fitToHeight="1" fitToWidth="1" horizontalDpi="600" verticalDpi="600" orientation="landscape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1"/>
  <sheetViews>
    <sheetView zoomScalePageLayoutView="0" workbookViewId="0" topLeftCell="I1">
      <selection activeCell="A3" sqref="A3:W3"/>
    </sheetView>
  </sheetViews>
  <sheetFormatPr defaultColWidth="9.140625" defaultRowHeight="12.75"/>
  <cols>
    <col min="1" max="1" width="4.8515625" style="0" bestFit="1" customWidth="1"/>
    <col min="2" max="3" width="11.140625" style="0" bestFit="1" customWidth="1"/>
    <col min="4" max="6" width="11.140625" style="0" customWidth="1"/>
    <col min="7" max="7" width="11.57421875" style="0" customWidth="1"/>
    <col min="8" max="8" width="11.28125" style="0" customWidth="1"/>
    <col min="9" max="9" width="12.00390625" style="0" customWidth="1"/>
    <col min="10" max="11" width="10.421875" style="0" customWidth="1"/>
    <col min="12" max="12" width="11.140625" style="0" customWidth="1"/>
    <col min="13" max="13" width="12.57421875" style="0" customWidth="1"/>
    <col min="14" max="14" width="12.28125" style="0" hidden="1" customWidth="1"/>
    <col min="15" max="15" width="11.28125" style="0" customWidth="1"/>
    <col min="16" max="16" width="13.8515625" style="0" hidden="1" customWidth="1"/>
    <col min="17" max="17" width="11.140625" style="0" hidden="1" customWidth="1"/>
    <col min="18" max="18" width="4.7109375" style="0" customWidth="1"/>
    <col min="19" max="20" width="11.140625" style="0" bestFit="1" customWidth="1"/>
    <col min="21" max="21" width="0" style="0" hidden="1" customWidth="1"/>
    <col min="22" max="23" width="12.28125" style="0" bestFit="1" customWidth="1"/>
  </cols>
  <sheetData>
    <row r="1" ht="12.75">
      <c r="W1" s="24" t="s">
        <v>62</v>
      </c>
    </row>
    <row r="2" ht="12.75">
      <c r="W2" s="24" t="s">
        <v>76</v>
      </c>
    </row>
    <row r="3" spans="1:23" ht="12.75">
      <c r="A3" s="32" t="s">
        <v>86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</row>
    <row r="4" spans="1:23" ht="12.75">
      <c r="A4" s="32" t="s">
        <v>85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</row>
    <row r="5" spans="2:5" ht="12.75">
      <c r="B5" t="s">
        <v>36</v>
      </c>
      <c r="E5" s="1">
        <v>65082300</v>
      </c>
    </row>
    <row r="6" spans="2:5" ht="13.5" customHeight="1">
      <c r="B6" t="s">
        <v>37</v>
      </c>
      <c r="E6" s="6">
        <v>10625000</v>
      </c>
    </row>
    <row r="7" ht="13.5" customHeight="1">
      <c r="E7" s="7">
        <f>+E5-E6</f>
        <v>54457300</v>
      </c>
    </row>
    <row r="8" spans="2:14" ht="13.5" customHeight="1">
      <c r="B8" t="s">
        <v>38</v>
      </c>
      <c r="E8" s="8">
        <v>0.1388</v>
      </c>
      <c r="N8" s="23"/>
    </row>
    <row r="9" spans="2:14" ht="12.75">
      <c r="B9" t="s">
        <v>39</v>
      </c>
      <c r="E9" s="1">
        <f>+E7*E8</f>
        <v>7558673.24</v>
      </c>
      <c r="N9" s="31"/>
    </row>
    <row r="10" spans="2:17" ht="12.75">
      <c r="B10" s="5" t="s">
        <v>31</v>
      </c>
      <c r="C10" s="5"/>
      <c r="D10" s="5"/>
      <c r="E10" s="27">
        <v>30</v>
      </c>
      <c r="F10" s="1" t="s">
        <v>71</v>
      </c>
      <c r="N10" s="1"/>
      <c r="O10" s="1"/>
      <c r="Q10" s="1"/>
    </row>
    <row r="11" spans="2:17" ht="12.75">
      <c r="B11" t="s">
        <v>35</v>
      </c>
      <c r="C11" s="1"/>
      <c r="D11" s="1"/>
      <c r="E11" s="3">
        <v>0.0175</v>
      </c>
      <c r="F11" s="1" t="s">
        <v>34</v>
      </c>
      <c r="N11" s="1"/>
      <c r="O11" s="3"/>
      <c r="Q11" s="1"/>
    </row>
    <row r="12" spans="2:18" ht="12.75">
      <c r="B12" t="s">
        <v>29</v>
      </c>
      <c r="C12" s="1"/>
      <c r="D12" s="1"/>
      <c r="E12" s="3">
        <v>0.02</v>
      </c>
      <c r="F12" s="1"/>
      <c r="N12" s="1"/>
      <c r="O12" s="1"/>
      <c r="Q12" s="1"/>
      <c r="R12" s="26"/>
    </row>
    <row r="13" spans="2:6" ht="12.75">
      <c r="B13" t="s">
        <v>30</v>
      </c>
      <c r="C13" s="1"/>
      <c r="D13" s="1"/>
      <c r="E13" s="3">
        <v>0.4053</v>
      </c>
      <c r="F13" s="1"/>
    </row>
    <row r="14" spans="2:6" ht="12.75">
      <c r="B14" s="5" t="s">
        <v>60</v>
      </c>
      <c r="C14" s="28"/>
      <c r="D14" s="28"/>
      <c r="E14" s="29">
        <v>0.13</v>
      </c>
      <c r="F14" s="3"/>
    </row>
    <row r="15" spans="3:23" ht="12.75">
      <c r="C15" s="1"/>
      <c r="D15" s="1"/>
      <c r="E15" s="3"/>
      <c r="F15" s="1"/>
      <c r="M15" s="33" t="s">
        <v>79</v>
      </c>
      <c r="N15" s="33"/>
      <c r="O15" s="33"/>
      <c r="S15" s="33" t="s">
        <v>80</v>
      </c>
      <c r="T15" s="33"/>
      <c r="V15" s="23" t="s">
        <v>74</v>
      </c>
      <c r="W15" s="23" t="s">
        <v>73</v>
      </c>
    </row>
    <row r="16" spans="1:23" ht="12.75">
      <c r="A16" t="s">
        <v>6</v>
      </c>
      <c r="B16" t="s">
        <v>3</v>
      </c>
      <c r="C16" t="s">
        <v>3</v>
      </c>
      <c r="D16" t="s">
        <v>3</v>
      </c>
      <c r="E16" t="s">
        <v>10</v>
      </c>
      <c r="F16" t="s">
        <v>10</v>
      </c>
      <c r="G16" t="s">
        <v>2</v>
      </c>
      <c r="H16" t="s">
        <v>0</v>
      </c>
      <c r="I16" t="s">
        <v>5</v>
      </c>
      <c r="J16" t="s">
        <v>17</v>
      </c>
      <c r="K16" t="s">
        <v>18</v>
      </c>
      <c r="L16" t="s">
        <v>12</v>
      </c>
      <c r="M16" t="s">
        <v>14</v>
      </c>
      <c r="N16" t="s">
        <v>24</v>
      </c>
      <c r="O16" t="s">
        <v>24</v>
      </c>
      <c r="P16" t="s">
        <v>26</v>
      </c>
      <c r="Q16" t="s">
        <v>24</v>
      </c>
      <c r="S16" t="s">
        <v>14</v>
      </c>
      <c r="T16" t="s">
        <v>24</v>
      </c>
      <c r="V16" s="23" t="s">
        <v>72</v>
      </c>
      <c r="W16" s="23" t="s">
        <v>72</v>
      </c>
    </row>
    <row r="17" spans="2:23" ht="12.75">
      <c r="B17" t="s">
        <v>7</v>
      </c>
      <c r="C17" t="s">
        <v>4</v>
      </c>
      <c r="D17" t="s">
        <v>13</v>
      </c>
      <c r="E17" s="1" t="s">
        <v>11</v>
      </c>
      <c r="F17" s="1" t="s">
        <v>9</v>
      </c>
      <c r="G17" s="1" t="s">
        <v>1</v>
      </c>
      <c r="H17" s="1" t="s">
        <v>1</v>
      </c>
      <c r="I17" s="1" t="s">
        <v>2</v>
      </c>
      <c r="J17" s="1" t="s">
        <v>16</v>
      </c>
      <c r="K17" s="1" t="s">
        <v>19</v>
      </c>
      <c r="L17" s="1" t="s">
        <v>2</v>
      </c>
      <c r="M17" s="1" t="s">
        <v>15</v>
      </c>
      <c r="N17" s="1" t="s">
        <v>25</v>
      </c>
      <c r="O17" s="1" t="s">
        <v>15</v>
      </c>
      <c r="P17" s="1" t="s">
        <v>27</v>
      </c>
      <c r="Q17" s="1" t="s">
        <v>28</v>
      </c>
      <c r="S17" s="1" t="s">
        <v>63</v>
      </c>
      <c r="T17" s="1" t="s">
        <v>15</v>
      </c>
      <c r="V17" s="23" t="s">
        <v>63</v>
      </c>
      <c r="W17" s="23" t="s">
        <v>63</v>
      </c>
    </row>
    <row r="18" spans="3:11" ht="12.75">
      <c r="C18" s="1"/>
      <c r="D18" s="1"/>
      <c r="E18" s="1"/>
      <c r="F18" s="1"/>
      <c r="G18" s="1"/>
      <c r="H18" s="1"/>
      <c r="I18" s="1"/>
      <c r="J18" s="1"/>
      <c r="K18" s="1"/>
    </row>
    <row r="19" spans="1:23" ht="12.75">
      <c r="A19">
        <v>1</v>
      </c>
      <c r="B19" s="1">
        <f>E9</f>
        <v>7558673.24</v>
      </c>
      <c r="C19" s="1">
        <f>E$9-H19-I19</f>
        <v>7293952.755899283</v>
      </c>
      <c r="D19" s="1">
        <f aca="true" t="shared" si="0" ref="D19:D58">AVERAGE(B19:C19)</f>
        <v>7426312.997949641</v>
      </c>
      <c r="E19" s="1">
        <f>D19*SUM('Cost of Capital'!K$17:K$17)</f>
        <v>241355.17243336336</v>
      </c>
      <c r="F19" s="1">
        <f>D19*'Cost of Capital'!K$16</f>
        <v>482710.3448667267</v>
      </c>
      <c r="G19" s="1">
        <f>B$19*0.0375</f>
        <v>283450.2465</v>
      </c>
      <c r="H19" s="1">
        <f aca="true" t="shared" si="1" ref="H19:H58">E$9/E$10</f>
        <v>251955.77466666666</v>
      </c>
      <c r="I19" s="2">
        <f aca="true" t="shared" si="2" ref="I19:I58">(G19-H19)*E$13</f>
        <v>12764.709434050004</v>
      </c>
      <c r="J19" s="1">
        <f aca="true" t="shared" si="3" ref="J19:J58">(+F19+H19-G19+I19)/(1-E$13)</f>
        <v>780192.6727214451</v>
      </c>
      <c r="K19" s="1">
        <f aca="true" t="shared" si="4" ref="K19:K58">J19*E$13</f>
        <v>316212.09025400167</v>
      </c>
      <c r="L19" s="1">
        <f>(B$19-SUM(H18))*E$11</f>
        <v>132276.78170000002</v>
      </c>
      <c r="M19" s="1">
        <f aca="true" t="shared" si="5" ref="M19:M58">SUM(E19:F19,H19,K19:L19)</f>
        <v>1424510.1639207583</v>
      </c>
      <c r="N19">
        <f>1/(1+'Cost of Capital'!E21)</f>
        <v>0.9351669775707214</v>
      </c>
      <c r="O19" s="2">
        <f aca="true" t="shared" si="6" ref="O19:O58">M19*N19</f>
        <v>1332154.8645125485</v>
      </c>
      <c r="P19" s="1">
        <f>P60</f>
        <v>6993954</v>
      </c>
      <c r="Q19" s="1">
        <f aca="true" t="shared" si="7" ref="Q19:Q58">P19*N19</f>
        <v>6540514.823448657</v>
      </c>
      <c r="S19" s="1">
        <v>983000</v>
      </c>
      <c r="T19" s="1">
        <f>+S19*N19</f>
        <v>919269.1389520192</v>
      </c>
      <c r="U19">
        <v>1</v>
      </c>
      <c r="V19" s="30">
        <f>+S19-M19</f>
        <v>-441510.1639207583</v>
      </c>
      <c r="W19" s="30">
        <f>+T19-O19</f>
        <v>-412885.7255605294</v>
      </c>
    </row>
    <row r="20" spans="1:23" ht="12.75">
      <c r="A20">
        <f aca="true" t="shared" si="8" ref="A20:A58">A19+1</f>
        <v>2</v>
      </c>
      <c r="B20" s="1">
        <f aca="true" t="shared" si="9" ref="B20:B58">C19</f>
        <v>7293952.755899283</v>
      </c>
      <c r="C20" s="1">
        <f aca="true" t="shared" si="10" ref="C20:C58">C19-H20-I20</f>
        <v>6922927.771631798</v>
      </c>
      <c r="D20" s="1">
        <f t="shared" si="0"/>
        <v>7108440.26376554</v>
      </c>
      <c r="E20" s="1">
        <f>D20*SUM('Cost of Capital'!E$17:E$17)</f>
        <v>231024.30857238005</v>
      </c>
      <c r="F20" s="1">
        <f>D20*'Cost of Capital'!E$16</f>
        <v>355422.013188277</v>
      </c>
      <c r="G20" s="1">
        <f>B$19*0.0722</f>
        <v>545736.207928</v>
      </c>
      <c r="H20" s="1">
        <f t="shared" si="1"/>
        <v>251955.77466666666</v>
      </c>
      <c r="I20" s="2">
        <f t="shared" si="2"/>
        <v>119069.20960081842</v>
      </c>
      <c r="J20" s="1">
        <f t="shared" si="3"/>
        <v>303868.82382337656</v>
      </c>
      <c r="K20" s="1">
        <f t="shared" si="4"/>
        <v>123158.03429561452</v>
      </c>
      <c r="L20" s="1">
        <f>(B$19-SUM(H19))*E$11</f>
        <v>127867.55564333334</v>
      </c>
      <c r="M20" s="1">
        <f t="shared" si="5"/>
        <v>1089427.6863662715</v>
      </c>
      <c r="N20">
        <f>N19*(1/(1+'Cost of Capital'!E$21))</f>
        <v>0.8745372759387582</v>
      </c>
      <c r="O20" s="2">
        <f t="shared" si="6"/>
        <v>952745.1211670229</v>
      </c>
      <c r="P20" s="1">
        <f aca="true" t="shared" si="11" ref="P20:P58">P19</f>
        <v>6993954</v>
      </c>
      <c r="Q20" s="1">
        <f t="shared" si="7"/>
        <v>6116473.479200982</v>
      </c>
      <c r="S20" s="1">
        <v>983000</v>
      </c>
      <c r="T20" s="1">
        <f aca="true" t="shared" si="12" ref="T20:T58">+S20*N20</f>
        <v>859670.1422477993</v>
      </c>
      <c r="U20">
        <f>U19+1</f>
        <v>2</v>
      </c>
      <c r="V20" s="30">
        <f aca="true" t="shared" si="13" ref="V20:V58">+S20-M20</f>
        <v>-106427.68636627146</v>
      </c>
      <c r="W20" s="30">
        <f aca="true" t="shared" si="14" ref="W20:W58">+T20-O20</f>
        <v>-93074.97891922353</v>
      </c>
    </row>
    <row r="21" spans="1:23" ht="12.75">
      <c r="A21">
        <f t="shared" si="8"/>
        <v>3</v>
      </c>
      <c r="B21" s="1">
        <f t="shared" si="9"/>
        <v>6922927.771631798</v>
      </c>
      <c r="C21" s="1">
        <f t="shared" si="10"/>
        <v>6568445.8507908415</v>
      </c>
      <c r="D21" s="1">
        <f t="shared" si="0"/>
        <v>6745686.81121132</v>
      </c>
      <c r="E21" s="1">
        <f>D21*SUM('Cost of Capital'!E$17:E$17)</f>
        <v>219234.8213643679</v>
      </c>
      <c r="F21" s="1">
        <f>D21*'Cost of Capital'!E$16</f>
        <v>337284.340560566</v>
      </c>
      <c r="G21" s="1">
        <f>B$19*0.0668</f>
        <v>504919.372432</v>
      </c>
      <c r="H21" s="1">
        <f t="shared" si="1"/>
        <v>251955.77466666666</v>
      </c>
      <c r="I21" s="2">
        <f t="shared" si="2"/>
        <v>102526.1461742896</v>
      </c>
      <c r="J21" s="1">
        <f t="shared" si="3"/>
        <v>314186.79833449185</v>
      </c>
      <c r="K21" s="1">
        <f t="shared" si="4"/>
        <v>127339.90936496954</v>
      </c>
      <c r="L21" s="1">
        <f>(B$19-SUM(H$19:H20))*E$11</f>
        <v>123458.32958666669</v>
      </c>
      <c r="M21" s="1">
        <f t="shared" si="5"/>
        <v>1059273.1755432368</v>
      </c>
      <c r="N21">
        <f>N20*(1/(1+'Cost of Capital'!E$21))</f>
        <v>0.8178383811125804</v>
      </c>
      <c r="O21" s="2">
        <f t="shared" si="6"/>
        <v>866314.259042263</v>
      </c>
      <c r="P21" s="1">
        <f t="shared" si="11"/>
        <v>6993954</v>
      </c>
      <c r="Q21" s="1">
        <f t="shared" si="7"/>
        <v>5719924.016935856</v>
      </c>
      <c r="S21" s="1">
        <v>995000</v>
      </c>
      <c r="T21" s="1">
        <f t="shared" si="12"/>
        <v>813749.1892070175</v>
      </c>
      <c r="U21">
        <f aca="true" t="shared" si="15" ref="U21:U58">U20+1</f>
        <v>3</v>
      </c>
      <c r="V21" s="30">
        <f t="shared" si="13"/>
        <v>-64273.17554323678</v>
      </c>
      <c r="W21" s="30">
        <f t="shared" si="14"/>
        <v>-52565.06983524549</v>
      </c>
    </row>
    <row r="22" spans="1:23" ht="12.75">
      <c r="A22">
        <f t="shared" si="8"/>
        <v>4</v>
      </c>
      <c r="B22" s="1">
        <f t="shared" si="9"/>
        <v>6568445.8507908415</v>
      </c>
      <c r="C22" s="1">
        <f t="shared" si="10"/>
        <v>6229281.581270745</v>
      </c>
      <c r="D22" s="1">
        <f t="shared" si="0"/>
        <v>6398863.716030793</v>
      </c>
      <c r="E22" s="1">
        <f>D22*SUM('Cost of Capital'!E$17:E$17)</f>
        <v>207963.07077100078</v>
      </c>
      <c r="F22" s="1">
        <f>D22*'Cost of Capital'!E$16</f>
        <v>319943.1858015397</v>
      </c>
      <c r="G22" s="1">
        <f>B$19*0.0618</f>
        <v>467126.006232</v>
      </c>
      <c r="H22" s="1">
        <f t="shared" si="1"/>
        <v>251955.77466666666</v>
      </c>
      <c r="I22" s="2">
        <f t="shared" si="2"/>
        <v>87208.4948534296</v>
      </c>
      <c r="J22" s="1">
        <f t="shared" si="3"/>
        <v>322820.6643511618</v>
      </c>
      <c r="K22" s="1">
        <f t="shared" si="4"/>
        <v>130839.21526152588</v>
      </c>
      <c r="L22" s="1">
        <f>(B$19-SUM(H$19:H21))*E$11</f>
        <v>119049.10353000001</v>
      </c>
      <c r="M22" s="1">
        <f t="shared" si="5"/>
        <v>1029750.350030733</v>
      </c>
      <c r="N22">
        <f>N21*(1/(1+'Cost of Capital'!E$21))</f>
        <v>0.7648154470063836</v>
      </c>
      <c r="O22" s="2">
        <f t="shared" si="6"/>
        <v>787568.9742637351</v>
      </c>
      <c r="P22" s="1">
        <f t="shared" si="11"/>
        <v>6993954</v>
      </c>
      <c r="Q22" s="1">
        <f t="shared" si="7"/>
        <v>5349084.054852084</v>
      </c>
      <c r="S22" s="1">
        <v>1006000</v>
      </c>
      <c r="T22" s="1">
        <f t="shared" si="12"/>
        <v>769404.3396884219</v>
      </c>
      <c r="U22">
        <f t="shared" si="15"/>
        <v>4</v>
      </c>
      <c r="V22" s="30">
        <f t="shared" si="13"/>
        <v>-23750.35003073304</v>
      </c>
      <c r="W22" s="30">
        <f t="shared" si="14"/>
        <v>-18164.63457531319</v>
      </c>
    </row>
    <row r="23" spans="1:23" ht="12.75">
      <c r="A23">
        <f t="shared" si="8"/>
        <v>5</v>
      </c>
      <c r="B23" s="1">
        <f t="shared" si="9"/>
        <v>6229281.581270745</v>
      </c>
      <c r="C23" s="1">
        <f t="shared" si="10"/>
        <v>5904515.903992257</v>
      </c>
      <c r="D23" s="1">
        <f t="shared" si="0"/>
        <v>6066898.742631501</v>
      </c>
      <c r="E23" s="1">
        <f>D23*SUM('Cost of Capital'!E$17:E$17)</f>
        <v>197174.20913552376</v>
      </c>
      <c r="F23" s="1">
        <f>D23*'Cost of Capital'!E$16</f>
        <v>303344.937131575</v>
      </c>
      <c r="G23" s="1">
        <f>B$19*0.0571</f>
        <v>431600.242004</v>
      </c>
      <c r="H23" s="1">
        <f t="shared" si="1"/>
        <v>251955.77466666666</v>
      </c>
      <c r="I23" s="2">
        <f t="shared" si="2"/>
        <v>72809.9026118212</v>
      </c>
      <c r="J23" s="1">
        <f t="shared" si="3"/>
        <v>330436.13991266675</v>
      </c>
      <c r="K23" s="1">
        <f t="shared" si="4"/>
        <v>133925.76750660382</v>
      </c>
      <c r="L23" s="1">
        <f>(B$19-SUM(H$19:H22))*E$11</f>
        <v>114639.87747333334</v>
      </c>
      <c r="M23" s="1">
        <f t="shared" si="5"/>
        <v>1001040.5659137027</v>
      </c>
      <c r="N23">
        <f>N22*(1/(1+'Cost of Capital'!E$21))</f>
        <v>0.71523014997636</v>
      </c>
      <c r="O23" s="2">
        <f t="shared" si="6"/>
        <v>715974.394090878</v>
      </c>
      <c r="P23" s="1">
        <f t="shared" si="11"/>
        <v>6993954</v>
      </c>
      <c r="Q23" s="1">
        <f t="shared" si="7"/>
        <v>5002286.768347763</v>
      </c>
      <c r="S23" s="1">
        <v>1022000</v>
      </c>
      <c r="T23" s="1">
        <f t="shared" si="12"/>
        <v>730965.2132758399</v>
      </c>
      <c r="U23">
        <f t="shared" si="15"/>
        <v>5</v>
      </c>
      <c r="V23" s="30">
        <f t="shared" si="13"/>
        <v>20959.43408629729</v>
      </c>
      <c r="W23" s="30">
        <f t="shared" si="14"/>
        <v>14990.819184961962</v>
      </c>
    </row>
    <row r="24" spans="1:23" ht="12.75">
      <c r="A24">
        <f t="shared" si="8"/>
        <v>6</v>
      </c>
      <c r="B24" s="1">
        <f t="shared" si="9"/>
        <v>5904515.903992257</v>
      </c>
      <c r="C24" s="1">
        <f t="shared" si="10"/>
        <v>5592923.406849708</v>
      </c>
      <c r="D24" s="1">
        <f t="shared" si="0"/>
        <v>5748719.655420983</v>
      </c>
      <c r="E24" s="1">
        <f>D24*SUM('Cost of Capital'!E$17:E$17)</f>
        <v>186833.38880118195</v>
      </c>
      <c r="F24" s="1">
        <f>D24*'Cost of Capital'!E$16</f>
        <v>287435.9827710492</v>
      </c>
      <c r="G24" s="1">
        <f>B$19*0.0528</f>
        <v>399097.947072</v>
      </c>
      <c r="H24" s="1">
        <f t="shared" si="1"/>
        <v>251955.77466666666</v>
      </c>
      <c r="I24" s="2">
        <f t="shared" si="2"/>
        <v>59636.7224758816</v>
      </c>
      <c r="J24" s="1">
        <f t="shared" si="3"/>
        <v>336187.20841028664</v>
      </c>
      <c r="K24" s="1">
        <f t="shared" si="4"/>
        <v>136256.67556868918</v>
      </c>
      <c r="L24" s="1">
        <f>(B$19-SUM(H$19:H23))*E$11</f>
        <v>110230.65141666669</v>
      </c>
      <c r="M24" s="1">
        <f t="shared" si="5"/>
        <v>972712.4732242537</v>
      </c>
      <c r="N24">
        <f>N23*(1/(1+'Cost of Capital'!E$21))</f>
        <v>0.6688596176208464</v>
      </c>
      <c r="O24" s="2">
        <f t="shared" si="6"/>
        <v>650608.0928958022</v>
      </c>
      <c r="P24" s="1">
        <f t="shared" si="11"/>
        <v>6993954</v>
      </c>
      <c r="Q24" s="1">
        <f t="shared" si="7"/>
        <v>4677973.39809779</v>
      </c>
      <c r="S24" s="1">
        <v>1045000</v>
      </c>
      <c r="T24" s="1">
        <f t="shared" si="12"/>
        <v>698958.3004137846</v>
      </c>
      <c r="U24">
        <f t="shared" si="15"/>
        <v>6</v>
      </c>
      <c r="V24" s="30">
        <f t="shared" si="13"/>
        <v>72287.52677574626</v>
      </c>
      <c r="W24" s="30">
        <f t="shared" si="14"/>
        <v>48350.207517982344</v>
      </c>
    </row>
    <row r="25" spans="1:23" ht="12.75">
      <c r="A25">
        <f t="shared" si="8"/>
        <v>7</v>
      </c>
      <c r="B25" s="1">
        <f t="shared" si="9"/>
        <v>5592923.406849708</v>
      </c>
      <c r="C25" s="1">
        <f t="shared" si="10"/>
        <v>5293278.677737431</v>
      </c>
      <c r="D25" s="1">
        <f t="shared" si="0"/>
        <v>5443101.042293569</v>
      </c>
      <c r="E25" s="1">
        <f>D25*SUM('Cost of Capital'!E$17:E$17)</f>
        <v>176900.783874541</v>
      </c>
      <c r="F25" s="1">
        <f>D25*'Cost of Capital'!E$16</f>
        <v>272155.0521146785</v>
      </c>
      <c r="G25" s="1">
        <f>B$19*0.0489</f>
        <v>369619.121436</v>
      </c>
      <c r="H25" s="1">
        <f t="shared" si="1"/>
        <v>251955.77466666666</v>
      </c>
      <c r="I25" s="2">
        <f t="shared" si="2"/>
        <v>47688.9544456108</v>
      </c>
      <c r="J25" s="1">
        <f t="shared" si="3"/>
        <v>339970.8420900555</v>
      </c>
      <c r="K25" s="1">
        <f t="shared" si="4"/>
        <v>137790.1822990995</v>
      </c>
      <c r="L25" s="1">
        <f>(B$19-SUM(H$19:H24))*E$11</f>
        <v>105821.42536000001</v>
      </c>
      <c r="M25" s="1">
        <f t="shared" si="5"/>
        <v>944623.2183149856</v>
      </c>
      <c r="N25">
        <f>N24*(1/(1+'Cost of Capital'!E$21))</f>
        <v>0.6254954270295954</v>
      </c>
      <c r="O25" s="2">
        <f t="shared" si="6"/>
        <v>590857.5033220026</v>
      </c>
      <c r="P25" s="1">
        <f t="shared" si="11"/>
        <v>6993954</v>
      </c>
      <c r="Q25" s="1">
        <f t="shared" si="7"/>
        <v>4374686.243855347</v>
      </c>
      <c r="S25" s="1">
        <v>1107000</v>
      </c>
      <c r="T25" s="1">
        <f t="shared" si="12"/>
        <v>692423.4377217621</v>
      </c>
      <c r="U25">
        <f t="shared" si="15"/>
        <v>7</v>
      </c>
      <c r="V25" s="30">
        <f t="shared" si="13"/>
        <v>162376.78168501437</v>
      </c>
      <c r="W25" s="30">
        <f t="shared" si="14"/>
        <v>101565.93439975951</v>
      </c>
    </row>
    <row r="26" spans="1:23" ht="12.75">
      <c r="A26">
        <f t="shared" si="8"/>
        <v>8</v>
      </c>
      <c r="B26" s="1">
        <f t="shared" si="9"/>
        <v>5293278.677737431</v>
      </c>
      <c r="C26" s="1">
        <f t="shared" si="10"/>
        <v>5004969.01060259</v>
      </c>
      <c r="D26" s="1">
        <f t="shared" si="0"/>
        <v>5149123.84417001</v>
      </c>
      <c r="E26" s="1">
        <f>D26*SUM('Cost of Capital'!E$17:E$17)</f>
        <v>167346.52493552532</v>
      </c>
      <c r="F26" s="1">
        <f>D26*'Cost of Capital'!E$16</f>
        <v>257456.1922085005</v>
      </c>
      <c r="G26" s="1">
        <f>B$19*0.0452</f>
        <v>341652.030448</v>
      </c>
      <c r="H26" s="1">
        <f t="shared" si="1"/>
        <v>251955.77466666666</v>
      </c>
      <c r="I26" s="2">
        <f t="shared" si="2"/>
        <v>36353.8924681744</v>
      </c>
      <c r="J26" s="1">
        <f t="shared" si="3"/>
        <v>343221.504784499</v>
      </c>
      <c r="K26" s="1">
        <f t="shared" si="4"/>
        <v>139107.67588915746</v>
      </c>
      <c r="L26" s="1">
        <f>(B$19-SUM(H$19:H25))*E$11</f>
        <v>101412.19930333334</v>
      </c>
      <c r="M26" s="1">
        <f t="shared" si="5"/>
        <v>917278.3670031832</v>
      </c>
      <c r="N26">
        <f>N25*(1/(1+'Cost of Capital'!E$21))</f>
        <v>0.5849426679795744</v>
      </c>
      <c r="O26" s="2">
        <f t="shared" si="6"/>
        <v>536555.2552747892</v>
      </c>
      <c r="P26" s="1">
        <f t="shared" si="11"/>
        <v>6993954</v>
      </c>
      <c r="Q26" s="1">
        <f t="shared" si="7"/>
        <v>4091062.1124864165</v>
      </c>
      <c r="S26" s="1">
        <v>1169000</v>
      </c>
      <c r="T26" s="1">
        <f t="shared" si="12"/>
        <v>683797.9788681224</v>
      </c>
      <c r="U26">
        <f t="shared" si="15"/>
        <v>8</v>
      </c>
      <c r="V26" s="30">
        <f t="shared" si="13"/>
        <v>251721.63299681677</v>
      </c>
      <c r="W26" s="30">
        <f t="shared" si="14"/>
        <v>147242.72359333327</v>
      </c>
    </row>
    <row r="27" spans="1:23" ht="12.75">
      <c r="A27">
        <f t="shared" si="8"/>
        <v>9</v>
      </c>
      <c r="B27" s="1">
        <f t="shared" si="9"/>
        <v>5004969.01060259</v>
      </c>
      <c r="C27" s="1">
        <f t="shared" si="10"/>
        <v>4718497.461626251</v>
      </c>
      <c r="D27" s="1">
        <f t="shared" si="0"/>
        <v>4861733.23611442</v>
      </c>
      <c r="E27" s="1">
        <f>D27*SUM('Cost of Capital'!E$17:E$17)</f>
        <v>158006.33017371866</v>
      </c>
      <c r="F27" s="1">
        <f>D27*'Cost of Capital'!E$16</f>
        <v>243086.661805721</v>
      </c>
      <c r="G27" s="1">
        <f aca="true" t="shared" si="16" ref="G27:G38">B$19*0.0446</f>
        <v>337116.826504</v>
      </c>
      <c r="H27" s="1">
        <f t="shared" si="1"/>
        <v>251955.77466666666</v>
      </c>
      <c r="I27" s="2">
        <f t="shared" si="2"/>
        <v>34515.7743096712</v>
      </c>
      <c r="J27" s="1">
        <f t="shared" si="3"/>
        <v>323594.05461250857</v>
      </c>
      <c r="K27" s="1">
        <f t="shared" si="4"/>
        <v>131152.6703344497</v>
      </c>
      <c r="L27" s="1">
        <f>(B$19-SUM(H$19:H26))*E$11</f>
        <v>97002.97324666666</v>
      </c>
      <c r="M27" s="1">
        <f t="shared" si="5"/>
        <v>881204.4102272226</v>
      </c>
      <c r="N27">
        <f>N26*(1/(1+'Cost of Capital'!E$21))</f>
        <v>0.5470190668666126</v>
      </c>
      <c r="O27" s="2">
        <f t="shared" si="6"/>
        <v>482035.614201239</v>
      </c>
      <c r="P27" s="1">
        <f t="shared" si="11"/>
        <v>6993954</v>
      </c>
      <c r="Q27" s="1">
        <f t="shared" si="7"/>
        <v>3825826.190788013</v>
      </c>
      <c r="S27" s="1">
        <v>1215000</v>
      </c>
      <c r="T27" s="1">
        <f t="shared" si="12"/>
        <v>664628.1662429343</v>
      </c>
      <c r="U27">
        <f t="shared" si="15"/>
        <v>9</v>
      </c>
      <c r="V27" s="30">
        <f t="shared" si="13"/>
        <v>333795.5897727774</v>
      </c>
      <c r="W27" s="30">
        <f t="shared" si="14"/>
        <v>182592.55204169528</v>
      </c>
    </row>
    <row r="28" spans="1:23" ht="12.75">
      <c r="A28">
        <f t="shared" si="8"/>
        <v>10</v>
      </c>
      <c r="B28" s="1">
        <f t="shared" si="9"/>
        <v>4718497.461626251</v>
      </c>
      <c r="C28" s="1">
        <f t="shared" si="10"/>
        <v>4432025.912649913</v>
      </c>
      <c r="D28" s="1">
        <f t="shared" si="0"/>
        <v>4575261.687138082</v>
      </c>
      <c r="E28" s="1">
        <f>D28*SUM('Cost of Capital'!E$17:E$17)</f>
        <v>148696.0048319877</v>
      </c>
      <c r="F28" s="1">
        <f>D28*'Cost of Capital'!E$16</f>
        <v>228763.08435690415</v>
      </c>
      <c r="G28" s="1">
        <f t="shared" si="16"/>
        <v>337116.826504</v>
      </c>
      <c r="H28" s="1">
        <f t="shared" si="1"/>
        <v>251955.77466666666</v>
      </c>
      <c r="I28" s="2">
        <f t="shared" si="2"/>
        <v>34515.7743096712</v>
      </c>
      <c r="J28" s="1">
        <f t="shared" si="3"/>
        <v>299508.67131199257</v>
      </c>
      <c r="K28" s="1">
        <f t="shared" si="4"/>
        <v>121390.86448275059</v>
      </c>
      <c r="L28" s="1">
        <f>(B$19-SUM(H$19:H27))*E$11</f>
        <v>92593.74719000001</v>
      </c>
      <c r="M28" s="1">
        <f t="shared" si="5"/>
        <v>843399.4755283091</v>
      </c>
      <c r="N28">
        <f>N27*(1/(1+'Cost of Capital'!E$21))</f>
        <v>0.5115541674352064</v>
      </c>
      <c r="O28" s="2">
        <f t="shared" si="6"/>
        <v>431444.5165191739</v>
      </c>
      <c r="P28" s="1">
        <f t="shared" si="11"/>
        <v>6993954</v>
      </c>
      <c r="Q28" s="1">
        <f t="shared" si="7"/>
        <v>3577786.3155501317</v>
      </c>
      <c r="S28" s="1">
        <v>1215000</v>
      </c>
      <c r="T28" s="1">
        <f t="shared" si="12"/>
        <v>621538.3134337758</v>
      </c>
      <c r="U28">
        <f t="shared" si="15"/>
        <v>10</v>
      </c>
      <c r="V28" s="30">
        <f t="shared" si="13"/>
        <v>371600.5244716909</v>
      </c>
      <c r="W28" s="30">
        <f t="shared" si="14"/>
        <v>190093.79691460187</v>
      </c>
    </row>
    <row r="29" spans="1:23" ht="12.75">
      <c r="A29">
        <f t="shared" si="8"/>
        <v>11</v>
      </c>
      <c r="B29" s="1">
        <f t="shared" si="9"/>
        <v>4432025.912649913</v>
      </c>
      <c r="C29" s="1">
        <f t="shared" si="10"/>
        <v>4145554.363673575</v>
      </c>
      <c r="D29" s="1">
        <f t="shared" si="0"/>
        <v>4288790.138161744</v>
      </c>
      <c r="E29" s="1">
        <f>D29*SUM('Cost of Capital'!E$17:E$17)</f>
        <v>139385.67949025668</v>
      </c>
      <c r="F29" s="1">
        <f>D29*'Cost of Capital'!E$16</f>
        <v>214439.5069080872</v>
      </c>
      <c r="G29" s="1">
        <f t="shared" si="16"/>
        <v>337116.826504</v>
      </c>
      <c r="H29" s="1">
        <f t="shared" si="1"/>
        <v>251955.77466666666</v>
      </c>
      <c r="I29" s="2">
        <f t="shared" si="2"/>
        <v>34515.7743096712</v>
      </c>
      <c r="J29" s="1">
        <f t="shared" si="3"/>
        <v>275423.28801147646</v>
      </c>
      <c r="K29" s="1">
        <f t="shared" si="4"/>
        <v>111629.0586310514</v>
      </c>
      <c r="L29" s="1">
        <f>(B$19-SUM(H$19:H28))*E$11</f>
        <v>88184.52113333336</v>
      </c>
      <c r="M29" s="1">
        <f t="shared" si="5"/>
        <v>805594.5408293953</v>
      </c>
      <c r="N29">
        <f>N28*(1/(1+'Cost of Capital'!E$21))</f>
        <v>0.47838856462408874</v>
      </c>
      <c r="O29" s="2">
        <f t="shared" si="6"/>
        <v>385387.2160563763</v>
      </c>
      <c r="P29" s="1">
        <f t="shared" si="11"/>
        <v>6993954</v>
      </c>
      <c r="Q29" s="1">
        <f t="shared" si="7"/>
        <v>3345827.615106904</v>
      </c>
      <c r="S29" s="1">
        <v>1215000</v>
      </c>
      <c r="T29" s="1">
        <f t="shared" si="12"/>
        <v>581242.1060182678</v>
      </c>
      <c r="U29">
        <f t="shared" si="15"/>
        <v>11</v>
      </c>
      <c r="V29" s="30">
        <f t="shared" si="13"/>
        <v>409405.4591706047</v>
      </c>
      <c r="W29" s="30">
        <f t="shared" si="14"/>
        <v>195854.88996189152</v>
      </c>
    </row>
    <row r="30" spans="1:23" ht="12.75">
      <c r="A30">
        <f t="shared" si="8"/>
        <v>12</v>
      </c>
      <c r="B30" s="1">
        <f t="shared" si="9"/>
        <v>4145554.363673575</v>
      </c>
      <c r="C30" s="1">
        <f t="shared" si="10"/>
        <v>3859082.8146972377</v>
      </c>
      <c r="D30" s="1">
        <f t="shared" si="0"/>
        <v>4002318.5891854065</v>
      </c>
      <c r="E30" s="1">
        <f>D30*SUM('Cost of Capital'!E$17:E$17)</f>
        <v>130075.35414852572</v>
      </c>
      <c r="F30" s="1">
        <f>D30*'Cost of Capital'!E$16</f>
        <v>200115.92945927032</v>
      </c>
      <c r="G30" s="1">
        <f t="shared" si="16"/>
        <v>337116.826504</v>
      </c>
      <c r="H30" s="1">
        <f t="shared" si="1"/>
        <v>251955.77466666666</v>
      </c>
      <c r="I30" s="2">
        <f t="shared" si="2"/>
        <v>34515.7743096712</v>
      </c>
      <c r="J30" s="1">
        <f t="shared" si="3"/>
        <v>251337.9047109604</v>
      </c>
      <c r="K30" s="1">
        <f t="shared" si="4"/>
        <v>101867.25277935225</v>
      </c>
      <c r="L30" s="1">
        <f>(B$19-SUM(H$19:H29))*E$11</f>
        <v>83775.29507666668</v>
      </c>
      <c r="M30" s="1">
        <f t="shared" si="5"/>
        <v>767789.6061304816</v>
      </c>
      <c r="N30">
        <f>N29*(1/(1+'Cost of Capital'!E$21))</f>
        <v>0.4473731880839048</v>
      </c>
      <c r="O30" s="2">
        <f t="shared" si="6"/>
        <v>343488.4838722791</v>
      </c>
      <c r="P30" s="1">
        <f t="shared" si="11"/>
        <v>6993954</v>
      </c>
      <c r="Q30" s="1">
        <f t="shared" si="7"/>
        <v>3128907.4982921784</v>
      </c>
      <c r="S30" s="1">
        <v>1215000</v>
      </c>
      <c r="T30" s="1">
        <f t="shared" si="12"/>
        <v>543558.4235219443</v>
      </c>
      <c r="U30">
        <f t="shared" si="15"/>
        <v>12</v>
      </c>
      <c r="V30" s="30">
        <f t="shared" si="13"/>
        <v>447210.3938695184</v>
      </c>
      <c r="W30" s="30">
        <f t="shared" si="14"/>
        <v>200069.9396496652</v>
      </c>
    </row>
    <row r="31" spans="1:23" ht="12.75">
      <c r="A31">
        <f t="shared" si="8"/>
        <v>13</v>
      </c>
      <c r="B31" s="1">
        <f t="shared" si="9"/>
        <v>3859082.8146972377</v>
      </c>
      <c r="C31" s="1">
        <f t="shared" si="10"/>
        <v>3572611.2657209</v>
      </c>
      <c r="D31" s="1">
        <f t="shared" si="0"/>
        <v>3715847.040209069</v>
      </c>
      <c r="E31" s="1">
        <f>D31*SUM('Cost of Capital'!E$17:E$17)</f>
        <v>120765.02880679474</v>
      </c>
      <c r="F31" s="1">
        <f>D31*'Cost of Capital'!E$16</f>
        <v>185792.35201045347</v>
      </c>
      <c r="G31" s="1">
        <f t="shared" si="16"/>
        <v>337116.826504</v>
      </c>
      <c r="H31" s="1">
        <f t="shared" si="1"/>
        <v>251955.77466666666</v>
      </c>
      <c r="I31" s="2">
        <f t="shared" si="2"/>
        <v>34515.7743096712</v>
      </c>
      <c r="J31" s="1">
        <f t="shared" si="3"/>
        <v>227252.52141044443</v>
      </c>
      <c r="K31" s="1">
        <f t="shared" si="4"/>
        <v>92105.44692765313</v>
      </c>
      <c r="L31" s="1">
        <f>(B$19-SUM(H$19:H30))*E$11</f>
        <v>79366.06902000001</v>
      </c>
      <c r="M31" s="1">
        <f t="shared" si="5"/>
        <v>729984.6714315681</v>
      </c>
      <c r="N31">
        <f>N30*(1/(1+'Cost of Capital'!E$21))</f>
        <v>0.41836863214660314</v>
      </c>
      <c r="O31" s="2">
        <f t="shared" si="6"/>
        <v>305402.68847481266</v>
      </c>
      <c r="P31" s="1">
        <f t="shared" si="11"/>
        <v>6993954</v>
      </c>
      <c r="Q31" s="1">
        <f t="shared" si="7"/>
        <v>2926050.9682762637</v>
      </c>
      <c r="S31" s="1">
        <v>1215000</v>
      </c>
      <c r="T31" s="1">
        <f t="shared" si="12"/>
        <v>508317.88805812283</v>
      </c>
      <c r="U31">
        <f t="shared" si="15"/>
        <v>13</v>
      </c>
      <c r="V31" s="30">
        <f t="shared" si="13"/>
        <v>485015.3285684319</v>
      </c>
      <c r="W31" s="30">
        <f t="shared" si="14"/>
        <v>202915.19958331017</v>
      </c>
    </row>
    <row r="32" spans="1:23" ht="12.75">
      <c r="A32">
        <f t="shared" si="8"/>
        <v>14</v>
      </c>
      <c r="B32" s="1">
        <f t="shared" si="9"/>
        <v>3572611.2657209</v>
      </c>
      <c r="C32" s="1">
        <f t="shared" si="10"/>
        <v>3286139.7167445626</v>
      </c>
      <c r="D32" s="1">
        <f t="shared" si="0"/>
        <v>3429375.4912327314</v>
      </c>
      <c r="E32" s="1">
        <f>D32*SUM('Cost of Capital'!E$17:E$17)</f>
        <v>111454.70346506378</v>
      </c>
      <c r="F32" s="1">
        <f>D32*'Cost of Capital'!E$16</f>
        <v>171468.7745616366</v>
      </c>
      <c r="G32" s="1">
        <f t="shared" si="16"/>
        <v>337116.826504</v>
      </c>
      <c r="H32" s="1">
        <f t="shared" si="1"/>
        <v>251955.77466666666</v>
      </c>
      <c r="I32" s="2">
        <f t="shared" si="2"/>
        <v>34515.7743096712</v>
      </c>
      <c r="J32" s="1">
        <f t="shared" si="3"/>
        <v>203167.13810992843</v>
      </c>
      <c r="K32" s="1">
        <f t="shared" si="4"/>
        <v>82343.64107595399</v>
      </c>
      <c r="L32" s="1">
        <f>(B$19-SUM(H$19:H31))*E$11</f>
        <v>74956.84296333336</v>
      </c>
      <c r="M32" s="1">
        <f t="shared" si="5"/>
        <v>692179.7367326544</v>
      </c>
      <c r="N32">
        <f>N31*(1/(1+'Cost of Capital'!E$21))</f>
        <v>0.3912445292349358</v>
      </c>
      <c r="O32" s="2">
        <f t="shared" si="6"/>
        <v>270811.5352439292</v>
      </c>
      <c r="P32" s="1">
        <f t="shared" si="11"/>
        <v>6993954</v>
      </c>
      <c r="Q32" s="1">
        <f t="shared" si="7"/>
        <v>2736346.2402207963</v>
      </c>
      <c r="S32" s="1">
        <v>1215000</v>
      </c>
      <c r="T32" s="1">
        <f t="shared" si="12"/>
        <v>475362.103020447</v>
      </c>
      <c r="U32">
        <f t="shared" si="15"/>
        <v>14</v>
      </c>
      <c r="V32" s="30">
        <f t="shared" si="13"/>
        <v>522820.2632673456</v>
      </c>
      <c r="W32" s="30">
        <f t="shared" si="14"/>
        <v>204550.56777651783</v>
      </c>
    </row>
    <row r="33" spans="1:23" ht="12.75">
      <c r="A33">
        <f t="shared" si="8"/>
        <v>15</v>
      </c>
      <c r="B33" s="1">
        <f t="shared" si="9"/>
        <v>3286139.7167445626</v>
      </c>
      <c r="C33" s="1">
        <f t="shared" si="10"/>
        <v>2999668.167768225</v>
      </c>
      <c r="D33" s="1">
        <f t="shared" si="0"/>
        <v>3142903.942256394</v>
      </c>
      <c r="E33" s="1">
        <f>D33*SUM('Cost of Capital'!E$17:E$17)</f>
        <v>102144.3781233328</v>
      </c>
      <c r="F33" s="1">
        <f>D33*'Cost of Capital'!E$16</f>
        <v>157145.1971128197</v>
      </c>
      <c r="G33" s="1">
        <f t="shared" si="16"/>
        <v>337116.826504</v>
      </c>
      <c r="H33" s="1">
        <f t="shared" si="1"/>
        <v>251955.77466666666</v>
      </c>
      <c r="I33" s="2">
        <f t="shared" si="2"/>
        <v>34515.7743096712</v>
      </c>
      <c r="J33" s="1">
        <f t="shared" si="3"/>
        <v>179081.75480941246</v>
      </c>
      <c r="K33" s="1">
        <f t="shared" si="4"/>
        <v>72581.83522425487</v>
      </c>
      <c r="L33" s="1">
        <f>(B$19-SUM(H$19:H32))*E$11</f>
        <v>70547.61690666669</v>
      </c>
      <c r="M33" s="1">
        <f t="shared" si="5"/>
        <v>654374.8020337407</v>
      </c>
      <c r="N33">
        <f>N32*(1/(1+'Cost of Capital'!E$21))</f>
        <v>0.36587896389571467</v>
      </c>
      <c r="O33" s="2">
        <f t="shared" si="6"/>
        <v>239421.97456756845</v>
      </c>
      <c r="P33" s="1">
        <f t="shared" si="11"/>
        <v>6993954</v>
      </c>
      <c r="Q33" s="1">
        <f t="shared" si="7"/>
        <v>2558940.6430542893</v>
      </c>
      <c r="S33" s="1">
        <v>1215000</v>
      </c>
      <c r="T33" s="1">
        <f t="shared" si="12"/>
        <v>444542.9411332933</v>
      </c>
      <c r="U33">
        <f t="shared" si="15"/>
        <v>15</v>
      </c>
      <c r="V33" s="30">
        <f t="shared" si="13"/>
        <v>560625.1979662593</v>
      </c>
      <c r="W33" s="30">
        <f t="shared" si="14"/>
        <v>205120.96656572487</v>
      </c>
    </row>
    <row r="34" spans="1:23" ht="12.75">
      <c r="A34">
        <f t="shared" si="8"/>
        <v>16</v>
      </c>
      <c r="B34" s="1">
        <f t="shared" si="9"/>
        <v>2999668.167768225</v>
      </c>
      <c r="C34" s="1">
        <f t="shared" si="10"/>
        <v>2713196.6187918875</v>
      </c>
      <c r="D34" s="1">
        <f t="shared" si="0"/>
        <v>2856432.3932800563</v>
      </c>
      <c r="E34" s="1">
        <f>D34*SUM('Cost of Capital'!E$17:E$17)</f>
        <v>92834.05278160183</v>
      </c>
      <c r="F34" s="1">
        <f>D34*'Cost of Capital'!E$16</f>
        <v>142821.61966400282</v>
      </c>
      <c r="G34" s="1">
        <f t="shared" si="16"/>
        <v>337116.826504</v>
      </c>
      <c r="H34" s="1">
        <f t="shared" si="1"/>
        <v>251955.77466666666</v>
      </c>
      <c r="I34" s="2">
        <f t="shared" si="2"/>
        <v>34515.7743096712</v>
      </c>
      <c r="J34" s="1">
        <f t="shared" si="3"/>
        <v>154996.37150889638</v>
      </c>
      <c r="K34" s="1">
        <f t="shared" si="4"/>
        <v>62820.0293725557</v>
      </c>
      <c r="L34" s="1">
        <f>(B$19-SUM(H$19:H33))*E$11</f>
        <v>66138.39085000003</v>
      </c>
      <c r="M34" s="1">
        <f t="shared" si="5"/>
        <v>616569.8673348271</v>
      </c>
      <c r="N34">
        <f>N33*(1/(1+'Cost of Capital'!E$21))</f>
        <v>0.3421579248230626</v>
      </c>
      <c r="O34" s="2">
        <f t="shared" si="6"/>
        <v>210964.26631571545</v>
      </c>
      <c r="P34" s="1">
        <f t="shared" si="11"/>
        <v>6993954</v>
      </c>
      <c r="Q34" s="1">
        <f t="shared" si="7"/>
        <v>2393036.786947958</v>
      </c>
      <c r="S34" s="1">
        <v>248000</v>
      </c>
      <c r="T34" s="1">
        <f t="shared" si="12"/>
        <v>84855.16535611953</v>
      </c>
      <c r="U34">
        <f t="shared" si="15"/>
        <v>16</v>
      </c>
      <c r="V34" s="30">
        <f t="shared" si="13"/>
        <v>-368569.8673348271</v>
      </c>
      <c r="W34" s="30">
        <f t="shared" si="14"/>
        <v>-126109.10095959592</v>
      </c>
    </row>
    <row r="35" spans="1:23" ht="12.75">
      <c r="A35">
        <f t="shared" si="8"/>
        <v>17</v>
      </c>
      <c r="B35" s="1">
        <f t="shared" si="9"/>
        <v>2713196.6187918875</v>
      </c>
      <c r="C35" s="1">
        <f t="shared" si="10"/>
        <v>2426725.06981555</v>
      </c>
      <c r="D35" s="1">
        <f t="shared" si="0"/>
        <v>2569960.844303719</v>
      </c>
      <c r="E35" s="1">
        <f>D35*SUM('Cost of Capital'!E$17:E$17)</f>
        <v>83523.72743987087</v>
      </c>
      <c r="F35" s="1">
        <f>D35*'Cost of Capital'!E$16</f>
        <v>128498.04221518594</v>
      </c>
      <c r="G35" s="1">
        <f t="shared" si="16"/>
        <v>337116.826504</v>
      </c>
      <c r="H35" s="1">
        <f t="shared" si="1"/>
        <v>251955.77466666666</v>
      </c>
      <c r="I35" s="2">
        <f t="shared" si="2"/>
        <v>34515.7743096712</v>
      </c>
      <c r="J35" s="1">
        <f t="shared" si="3"/>
        <v>130910.98820838031</v>
      </c>
      <c r="K35" s="1">
        <f t="shared" si="4"/>
        <v>53058.22352085654</v>
      </c>
      <c r="L35" s="1">
        <f>(B$19-SUM(H$19:H34))*E$11</f>
        <v>61729.16479333336</v>
      </c>
      <c r="M35" s="1">
        <f t="shared" si="5"/>
        <v>578764.9326359134</v>
      </c>
      <c r="N35">
        <f>N34*(1/(1+'Cost of Capital'!E$21))</f>
        <v>0.31997479240865356</v>
      </c>
      <c r="O35" s="2">
        <f t="shared" si="6"/>
        <v>185190.18917358475</v>
      </c>
      <c r="P35" s="1">
        <f t="shared" si="11"/>
        <v>6993954</v>
      </c>
      <c r="Q35" s="1">
        <f t="shared" si="7"/>
        <v>2237888.979265672</v>
      </c>
      <c r="S35" s="1">
        <v>248000</v>
      </c>
      <c r="T35" s="1">
        <f t="shared" si="12"/>
        <v>79353.74851734609</v>
      </c>
      <c r="U35">
        <f t="shared" si="15"/>
        <v>17</v>
      </c>
      <c r="V35" s="30">
        <f t="shared" si="13"/>
        <v>-330764.93263591337</v>
      </c>
      <c r="W35" s="30">
        <f t="shared" si="14"/>
        <v>-105836.44065623866</v>
      </c>
    </row>
    <row r="36" spans="1:23" ht="12.75">
      <c r="A36">
        <f t="shared" si="8"/>
        <v>18</v>
      </c>
      <c r="B36" s="1">
        <f t="shared" si="9"/>
        <v>2426725.06981555</v>
      </c>
      <c r="C36" s="1">
        <f t="shared" si="10"/>
        <v>2140253.5208392125</v>
      </c>
      <c r="D36" s="1">
        <f t="shared" si="0"/>
        <v>2283489.295327381</v>
      </c>
      <c r="E36" s="1">
        <f>D36*SUM('Cost of Capital'!E$17:E$17)</f>
        <v>74213.4020981399</v>
      </c>
      <c r="F36" s="1">
        <f>D36*'Cost of Capital'!E$16</f>
        <v>114174.46476636907</v>
      </c>
      <c r="G36" s="1">
        <f t="shared" si="16"/>
        <v>337116.826504</v>
      </c>
      <c r="H36" s="1">
        <f t="shared" si="1"/>
        <v>251955.77466666666</v>
      </c>
      <c r="I36" s="2">
        <f t="shared" si="2"/>
        <v>34515.7743096712</v>
      </c>
      <c r="J36" s="1">
        <f t="shared" si="3"/>
        <v>106825.60490786434</v>
      </c>
      <c r="K36" s="1">
        <f t="shared" si="4"/>
        <v>43296.41766915742</v>
      </c>
      <c r="L36" s="1">
        <f>(B$19-SUM(H$19:H35))*E$11</f>
        <v>57319.93873666669</v>
      </c>
      <c r="M36" s="1">
        <f t="shared" si="5"/>
        <v>540959.9979369997</v>
      </c>
      <c r="N36">
        <f>N35*(1/(1+'Cost of Capital'!E$21))</f>
        <v>0.2992298595156196</v>
      </c>
      <c r="O36" s="2">
        <f t="shared" si="6"/>
        <v>161871.38418625828</v>
      </c>
      <c r="P36" s="1">
        <f t="shared" si="11"/>
        <v>6993954</v>
      </c>
      <c r="Q36" s="1">
        <f t="shared" si="7"/>
        <v>2092799.8728787056</v>
      </c>
      <c r="S36" s="1">
        <v>248000</v>
      </c>
      <c r="T36" s="1">
        <f t="shared" si="12"/>
        <v>74209.00515987366</v>
      </c>
      <c r="U36">
        <f t="shared" si="15"/>
        <v>18</v>
      </c>
      <c r="V36" s="30">
        <f t="shared" si="13"/>
        <v>-292959.99793699966</v>
      </c>
      <c r="W36" s="30">
        <f t="shared" si="14"/>
        <v>-87662.37902638462</v>
      </c>
    </row>
    <row r="37" spans="1:23" ht="12.75">
      <c r="A37">
        <f t="shared" si="8"/>
        <v>19</v>
      </c>
      <c r="B37" s="1">
        <f t="shared" si="9"/>
        <v>2140253.5208392125</v>
      </c>
      <c r="C37" s="1">
        <f t="shared" si="10"/>
        <v>1853781.9718628745</v>
      </c>
      <c r="D37" s="1">
        <f t="shared" si="0"/>
        <v>1997017.7463510435</v>
      </c>
      <c r="E37" s="1">
        <f>D37*SUM('Cost of Capital'!E$17:E$17)</f>
        <v>64903.07675640892</v>
      </c>
      <c r="F37" s="1">
        <f>D37*'Cost of Capital'!E$16</f>
        <v>99850.88731755217</v>
      </c>
      <c r="G37" s="1">
        <f t="shared" si="16"/>
        <v>337116.826504</v>
      </c>
      <c r="H37" s="1">
        <f t="shared" si="1"/>
        <v>251955.77466666666</v>
      </c>
      <c r="I37" s="2">
        <f t="shared" si="2"/>
        <v>34515.7743096712</v>
      </c>
      <c r="J37" s="1">
        <f t="shared" si="3"/>
        <v>82740.22160734836</v>
      </c>
      <c r="K37" s="1">
        <f t="shared" si="4"/>
        <v>33534.61181745829</v>
      </c>
      <c r="L37" s="1">
        <f>(B$19-SUM(H$19:H36))*E$11</f>
        <v>52910.712680000026</v>
      </c>
      <c r="M37" s="1">
        <f t="shared" si="5"/>
        <v>503155.06323808606</v>
      </c>
      <c r="N37">
        <f>N36*(1/(1+'Cost of Capital'!E$21))</f>
        <v>0.27982988332213354</v>
      </c>
      <c r="O37" s="2">
        <f t="shared" si="6"/>
        <v>140797.82263885436</v>
      </c>
      <c r="P37" s="1">
        <f t="shared" si="11"/>
        <v>6993954</v>
      </c>
      <c r="Q37" s="1">
        <f t="shared" si="7"/>
        <v>1957117.3317803692</v>
      </c>
      <c r="S37" s="1">
        <v>248000</v>
      </c>
      <c r="T37" s="1">
        <f t="shared" si="12"/>
        <v>69397.81106388912</v>
      </c>
      <c r="U37">
        <f t="shared" si="15"/>
        <v>19</v>
      </c>
      <c r="V37" s="30">
        <f t="shared" si="13"/>
        <v>-255155.06323808606</v>
      </c>
      <c r="W37" s="30">
        <f t="shared" si="14"/>
        <v>-71400.01157496523</v>
      </c>
    </row>
    <row r="38" spans="1:23" ht="12.75">
      <c r="A38">
        <f t="shared" si="8"/>
        <v>20</v>
      </c>
      <c r="B38" s="1">
        <f t="shared" si="9"/>
        <v>1853781.9718628745</v>
      </c>
      <c r="C38" s="1">
        <f t="shared" si="10"/>
        <v>1567310.4228865365</v>
      </c>
      <c r="D38" s="1">
        <f t="shared" si="0"/>
        <v>1710546.1973747055</v>
      </c>
      <c r="E38" s="1">
        <f>D38*SUM('Cost of Capital'!E$17:E$17)</f>
        <v>55592.75141467793</v>
      </c>
      <c r="F38" s="1">
        <f>D38*'Cost of Capital'!E$16</f>
        <v>85527.30986873528</v>
      </c>
      <c r="G38" s="1">
        <f t="shared" si="16"/>
        <v>337116.826504</v>
      </c>
      <c r="H38" s="1">
        <f t="shared" si="1"/>
        <v>251955.77466666666</v>
      </c>
      <c r="I38" s="2">
        <f t="shared" si="2"/>
        <v>34515.7743096712</v>
      </c>
      <c r="J38" s="1">
        <f t="shared" si="3"/>
        <v>58654.83830683228</v>
      </c>
      <c r="K38" s="1">
        <f t="shared" si="4"/>
        <v>23772.805965759122</v>
      </c>
      <c r="L38" s="1">
        <f>(B$19-SUM(H$19:H37))*E$11</f>
        <v>48501.48662333335</v>
      </c>
      <c r="M38" s="1">
        <f t="shared" si="5"/>
        <v>465350.1285391723</v>
      </c>
      <c r="N38">
        <f>N37*(1/(1+'Cost of Capital'!E$21))</f>
        <v>0.26168766622032724</v>
      </c>
      <c r="O38" s="2">
        <f t="shared" si="6"/>
        <v>121776.3891127453</v>
      </c>
      <c r="P38" s="1">
        <f t="shared" si="11"/>
        <v>6993954</v>
      </c>
      <c r="Q38" s="1">
        <f t="shared" si="7"/>
        <v>1830231.4999123225</v>
      </c>
      <c r="S38" s="1">
        <v>248000</v>
      </c>
      <c r="T38" s="1">
        <f t="shared" si="12"/>
        <v>64898.54122264116</v>
      </c>
      <c r="U38">
        <f t="shared" si="15"/>
        <v>20</v>
      </c>
      <c r="V38" s="30">
        <f t="shared" si="13"/>
        <v>-217350.1285391723</v>
      </c>
      <c r="W38" s="30">
        <f t="shared" si="14"/>
        <v>-56877.84789010414</v>
      </c>
    </row>
    <row r="39" spans="1:23" ht="12.75">
      <c r="A39">
        <f t="shared" si="8"/>
        <v>21</v>
      </c>
      <c r="B39" s="1">
        <f t="shared" si="9"/>
        <v>1567310.4228865365</v>
      </c>
      <c r="C39" s="1">
        <f t="shared" si="10"/>
        <v>1349155.598801234</v>
      </c>
      <c r="D39" s="1">
        <f t="shared" si="0"/>
        <v>1458233.0108438851</v>
      </c>
      <c r="E39" s="1">
        <f>D39*SUM('Cost of Capital'!E$17:E$17)</f>
        <v>47392.57285242627</v>
      </c>
      <c r="F39" s="1">
        <f>D39*'Cost of Capital'!E$16</f>
        <v>72911.65054219426</v>
      </c>
      <c r="G39" s="1">
        <f>B$19*0.0223</f>
        <v>168558.413252</v>
      </c>
      <c r="H39" s="1">
        <f t="shared" si="1"/>
        <v>251955.77466666666</v>
      </c>
      <c r="I39" s="2">
        <f t="shared" si="2"/>
        <v>-33800.9505813644</v>
      </c>
      <c r="J39" s="1">
        <f t="shared" si="3"/>
        <v>205999.76690011183</v>
      </c>
      <c r="K39" s="1">
        <f t="shared" si="4"/>
        <v>83491.70552461532</v>
      </c>
      <c r="L39" s="1">
        <f>(B$19-SUM(H$19:H38))*E$11</f>
        <v>44092.26056666668</v>
      </c>
      <c r="M39" s="1">
        <f t="shared" si="5"/>
        <v>499843.9641525692</v>
      </c>
      <c r="N39">
        <f>N38*(1/(1+'Cost of Capital'!E$21))</f>
        <v>0.2447216638867992</v>
      </c>
      <c r="O39" s="2">
        <f t="shared" si="6"/>
        <v>122322.64659119034</v>
      </c>
      <c r="P39" s="1">
        <f t="shared" si="11"/>
        <v>6993954</v>
      </c>
      <c r="Q39" s="1">
        <f t="shared" si="7"/>
        <v>1711572.0600277348</v>
      </c>
      <c r="S39" s="1">
        <v>248000</v>
      </c>
      <c r="T39" s="1">
        <f t="shared" si="12"/>
        <v>60690.9726439262</v>
      </c>
      <c r="U39">
        <f t="shared" si="15"/>
        <v>21</v>
      </c>
      <c r="V39" s="30">
        <f t="shared" si="13"/>
        <v>-251843.96415256918</v>
      </c>
      <c r="W39" s="30">
        <f t="shared" si="14"/>
        <v>-61631.673947264135</v>
      </c>
    </row>
    <row r="40" spans="1:23" ht="12.75">
      <c r="A40">
        <f t="shared" si="8"/>
        <v>22</v>
      </c>
      <c r="B40" s="1">
        <f t="shared" si="9"/>
        <v>1349155.598801234</v>
      </c>
      <c r="C40" s="1">
        <f t="shared" si="10"/>
        <v>1199317.4996069672</v>
      </c>
      <c r="D40" s="1">
        <f t="shared" si="0"/>
        <v>1274236.5492041006</v>
      </c>
      <c r="E40" s="1">
        <f>D40*SUM('Cost of Capital'!E$17:E$17)</f>
        <v>41412.68784913327</v>
      </c>
      <c r="F40" s="1">
        <f>D40*'Cost of Capital'!E$16</f>
        <v>63711.82746020504</v>
      </c>
      <c r="G40" s="1">
        <v>0</v>
      </c>
      <c r="H40" s="1">
        <f t="shared" si="1"/>
        <v>251955.77466666666</v>
      </c>
      <c r="I40" s="2">
        <f t="shared" si="2"/>
        <v>-102117.67547239999</v>
      </c>
      <c r="J40" s="1">
        <f t="shared" si="3"/>
        <v>359088.4927769829</v>
      </c>
      <c r="K40" s="1">
        <f t="shared" si="4"/>
        <v>145538.56612251117</v>
      </c>
      <c r="L40" s="1">
        <f>(B$19-SUM(H$19:H39))*E$11</f>
        <v>39683.034510000005</v>
      </c>
      <c r="M40" s="1">
        <f t="shared" si="5"/>
        <v>542301.8906085162</v>
      </c>
      <c r="N40">
        <f>N39*(1/(1+'Cost of Capital'!E$21))</f>
        <v>0.22885561876309596</v>
      </c>
      <c r="O40" s="2">
        <f t="shared" si="6"/>
        <v>124108.83473160875</v>
      </c>
      <c r="P40" s="1">
        <f t="shared" si="11"/>
        <v>6993954</v>
      </c>
      <c r="Q40" s="1">
        <f t="shared" si="7"/>
        <v>1600605.67027063</v>
      </c>
      <c r="S40" s="1">
        <v>248000</v>
      </c>
      <c r="T40" s="1">
        <f t="shared" si="12"/>
        <v>56756.1934532478</v>
      </c>
      <c r="U40">
        <f t="shared" si="15"/>
        <v>22</v>
      </c>
      <c r="V40" s="30">
        <f t="shared" si="13"/>
        <v>-294301.8906085162</v>
      </c>
      <c r="W40" s="30">
        <f t="shared" si="14"/>
        <v>-67352.64127836094</v>
      </c>
    </row>
    <row r="41" spans="1:23" ht="12.75">
      <c r="A41">
        <f t="shared" si="8"/>
        <v>23</v>
      </c>
      <c r="B41" s="1">
        <f t="shared" si="9"/>
        <v>1199317.4996069672</v>
      </c>
      <c r="C41" s="1">
        <f t="shared" si="10"/>
        <v>1049479.4004127006</v>
      </c>
      <c r="D41" s="1">
        <f t="shared" si="0"/>
        <v>1124398.450009834</v>
      </c>
      <c r="E41" s="1">
        <f>D41*SUM('Cost of Capital'!E$17:E$17)</f>
        <v>36542.949625319605</v>
      </c>
      <c r="F41" s="1">
        <f>D41*'Cost of Capital'!E$16</f>
        <v>56219.9225004917</v>
      </c>
      <c r="G41" s="1">
        <v>0</v>
      </c>
      <c r="H41" s="1">
        <f t="shared" si="1"/>
        <v>251955.77466666666</v>
      </c>
      <c r="I41" s="2">
        <f t="shared" si="2"/>
        <v>-102117.67547239999</v>
      </c>
      <c r="J41" s="1">
        <f t="shared" si="3"/>
        <v>346490.70404364954</v>
      </c>
      <c r="K41" s="1">
        <f t="shared" si="4"/>
        <v>140432.68234889116</v>
      </c>
      <c r="L41" s="1">
        <f>(B$19-SUM(H$19:H40))*E$11</f>
        <v>35273.80845333333</v>
      </c>
      <c r="M41" s="1">
        <f t="shared" si="5"/>
        <v>520425.1375947025</v>
      </c>
      <c r="N41">
        <f>N40*(1/(1+'Cost of Capital'!E$21))</f>
        <v>0.21401821729876172</v>
      </c>
      <c r="O41" s="2">
        <f t="shared" si="6"/>
        <v>111380.460185481</v>
      </c>
      <c r="P41" s="1">
        <f t="shared" si="11"/>
        <v>6993954</v>
      </c>
      <c r="Q41" s="1">
        <f t="shared" si="7"/>
        <v>1496833.5669495438</v>
      </c>
      <c r="S41" s="1">
        <v>248000</v>
      </c>
      <c r="T41" s="1">
        <f t="shared" si="12"/>
        <v>53076.51789009291</v>
      </c>
      <c r="U41">
        <f t="shared" si="15"/>
        <v>23</v>
      </c>
      <c r="V41" s="30">
        <f t="shared" si="13"/>
        <v>-272425.1375947025</v>
      </c>
      <c r="W41" s="30">
        <f t="shared" si="14"/>
        <v>-58303.94229538809</v>
      </c>
    </row>
    <row r="42" spans="1:23" ht="12.75">
      <c r="A42">
        <f t="shared" si="8"/>
        <v>24</v>
      </c>
      <c r="B42" s="1">
        <f t="shared" si="9"/>
        <v>1049479.4004127006</v>
      </c>
      <c r="C42" s="1">
        <f t="shared" si="10"/>
        <v>899641.301218434</v>
      </c>
      <c r="D42" s="1">
        <f t="shared" si="0"/>
        <v>974560.3508155673</v>
      </c>
      <c r="E42" s="1">
        <f>D42*SUM('Cost of Capital'!E$17:E$17)</f>
        <v>31673.211401505938</v>
      </c>
      <c r="F42" s="1">
        <f>D42*'Cost of Capital'!E$16</f>
        <v>48728.01754077837</v>
      </c>
      <c r="G42" s="1">
        <v>0</v>
      </c>
      <c r="H42" s="1">
        <f t="shared" si="1"/>
        <v>251955.77466666666</v>
      </c>
      <c r="I42" s="2">
        <f t="shared" si="2"/>
        <v>-102117.67547239999</v>
      </c>
      <c r="J42" s="1">
        <f t="shared" si="3"/>
        <v>333892.9153103162</v>
      </c>
      <c r="K42" s="1">
        <f t="shared" si="4"/>
        <v>135326.79857527115</v>
      </c>
      <c r="L42" s="1">
        <f>(B$19-SUM(H$19:H41))*E$11</f>
        <v>30864.58239666666</v>
      </c>
      <c r="M42" s="1">
        <f t="shared" si="5"/>
        <v>498548.3845808888</v>
      </c>
      <c r="N42">
        <f>N41*(1/(1+'Cost of Capital'!E$21))</f>
        <v>0.2001427694163569</v>
      </c>
      <c r="O42" s="2">
        <f t="shared" si="6"/>
        <v>99780.85437807004</v>
      </c>
      <c r="P42" s="1">
        <f t="shared" si="11"/>
        <v>6993954</v>
      </c>
      <c r="Q42" s="1">
        <f t="shared" si="7"/>
        <v>1399789.322730607</v>
      </c>
      <c r="S42" s="1">
        <v>248000</v>
      </c>
      <c r="T42" s="1">
        <f t="shared" si="12"/>
        <v>49635.40681525651</v>
      </c>
      <c r="U42">
        <f t="shared" si="15"/>
        <v>24</v>
      </c>
      <c r="V42" s="30">
        <f t="shared" si="13"/>
        <v>-250548.38458088879</v>
      </c>
      <c r="W42" s="30">
        <f t="shared" si="14"/>
        <v>-50145.44756281353</v>
      </c>
    </row>
    <row r="43" spans="1:23" ht="12.75">
      <c r="A43">
        <f t="shared" si="8"/>
        <v>25</v>
      </c>
      <c r="B43" s="1">
        <f t="shared" si="9"/>
        <v>899641.301218434</v>
      </c>
      <c r="C43" s="1">
        <f t="shared" si="10"/>
        <v>749803.2020241674</v>
      </c>
      <c r="D43" s="1">
        <f t="shared" si="0"/>
        <v>824722.2516213007</v>
      </c>
      <c r="E43" s="1">
        <f>D43*SUM('Cost of Capital'!E$17:E$17)</f>
        <v>26803.473177692274</v>
      </c>
      <c r="F43" s="1">
        <f>D43*'Cost of Capital'!E$16</f>
        <v>41236.11258106504</v>
      </c>
      <c r="G43" s="1">
        <v>0</v>
      </c>
      <c r="H43" s="1">
        <f t="shared" si="1"/>
        <v>251955.77466666666</v>
      </c>
      <c r="I43" s="2">
        <f t="shared" si="2"/>
        <v>-102117.67547239999</v>
      </c>
      <c r="J43" s="1">
        <f t="shared" si="3"/>
        <v>321295.12657698285</v>
      </c>
      <c r="K43" s="1">
        <f t="shared" si="4"/>
        <v>130220.91480165115</v>
      </c>
      <c r="L43" s="1">
        <f>(B$19-SUM(H$19:H42))*E$11</f>
        <v>26455.356339999988</v>
      </c>
      <c r="M43" s="1">
        <f t="shared" si="5"/>
        <v>476671.6315670751</v>
      </c>
      <c r="N43">
        <f>N42*(1/(1+'Cost of Capital'!E$21))</f>
        <v>0.1871669087577283</v>
      </c>
      <c r="O43" s="2">
        <f t="shared" si="6"/>
        <v>89217.15577291221</v>
      </c>
      <c r="P43" s="1">
        <f t="shared" si="11"/>
        <v>6993954</v>
      </c>
      <c r="Q43" s="1">
        <f t="shared" si="7"/>
        <v>1309036.7501737487</v>
      </c>
      <c r="S43" s="1">
        <v>248000</v>
      </c>
      <c r="T43" s="1">
        <f t="shared" si="12"/>
        <v>46417.393371916616</v>
      </c>
      <c r="U43">
        <f t="shared" si="15"/>
        <v>25</v>
      </c>
      <c r="V43" s="30">
        <f t="shared" si="13"/>
        <v>-228671.6315670751</v>
      </c>
      <c r="W43" s="30">
        <f t="shared" si="14"/>
        <v>-42799.7624009956</v>
      </c>
    </row>
    <row r="44" spans="1:23" ht="12.75">
      <c r="A44">
        <f t="shared" si="8"/>
        <v>26</v>
      </c>
      <c r="B44" s="1">
        <f t="shared" si="9"/>
        <v>749803.2020241674</v>
      </c>
      <c r="C44" s="1">
        <f t="shared" si="10"/>
        <v>599965.1028299008</v>
      </c>
      <c r="D44" s="1">
        <f t="shared" si="0"/>
        <v>674884.1524270341</v>
      </c>
      <c r="E44" s="1">
        <f>D44*SUM('Cost of Capital'!E$17:E$17)</f>
        <v>21933.734953878607</v>
      </c>
      <c r="F44" s="1">
        <f>D44*'Cost of Capital'!E$16</f>
        <v>33744.20762135171</v>
      </c>
      <c r="G44" s="1">
        <v>0</v>
      </c>
      <c r="H44" s="1">
        <f t="shared" si="1"/>
        <v>251955.77466666666</v>
      </c>
      <c r="I44" s="2">
        <f t="shared" si="2"/>
        <v>-102117.67547239999</v>
      </c>
      <c r="J44" s="1">
        <f t="shared" si="3"/>
        <v>308697.3378436496</v>
      </c>
      <c r="K44" s="1">
        <f t="shared" si="4"/>
        <v>125115.03102803118</v>
      </c>
      <c r="L44" s="1">
        <f>(B$19-SUM(H$19:H43))*E$11</f>
        <v>22046.130283333314</v>
      </c>
      <c r="M44" s="1">
        <f t="shared" si="5"/>
        <v>454794.87855326146</v>
      </c>
      <c r="N44">
        <f>N43*(1/(1+'Cost of Capital'!E$21))</f>
        <v>0.17503231236421976</v>
      </c>
      <c r="O44" s="2">
        <f t="shared" si="6"/>
        <v>79603.79924458185</v>
      </c>
      <c r="P44" s="1">
        <f t="shared" si="11"/>
        <v>6993954</v>
      </c>
      <c r="Q44" s="1">
        <f t="shared" si="7"/>
        <v>1224167.9411889843</v>
      </c>
      <c r="S44" s="1">
        <v>248000</v>
      </c>
      <c r="T44" s="1">
        <f t="shared" si="12"/>
        <v>43408.0134663265</v>
      </c>
      <c r="U44">
        <f t="shared" si="15"/>
        <v>26</v>
      </c>
      <c r="V44" s="30">
        <f t="shared" si="13"/>
        <v>-206794.87855326146</v>
      </c>
      <c r="W44" s="30">
        <f t="shared" si="14"/>
        <v>-36195.785778255355</v>
      </c>
    </row>
    <row r="45" spans="1:23" ht="12.75">
      <c r="A45">
        <f t="shared" si="8"/>
        <v>27</v>
      </c>
      <c r="B45" s="1">
        <f t="shared" si="9"/>
        <v>599965.1028299008</v>
      </c>
      <c r="C45" s="1">
        <f t="shared" si="10"/>
        <v>450127.00363563414</v>
      </c>
      <c r="D45" s="1">
        <f t="shared" si="0"/>
        <v>525046.0532327675</v>
      </c>
      <c r="E45" s="1">
        <f>D45*SUM('Cost of Capital'!E$17:E$17)</f>
        <v>17063.996730064944</v>
      </c>
      <c r="F45" s="1">
        <f>D45*'Cost of Capital'!E$16</f>
        <v>26252.302661638376</v>
      </c>
      <c r="G45" s="1">
        <v>0</v>
      </c>
      <c r="H45" s="1">
        <f t="shared" si="1"/>
        <v>251955.77466666666</v>
      </c>
      <c r="I45" s="2">
        <f t="shared" si="2"/>
        <v>-102117.67547239999</v>
      </c>
      <c r="J45" s="1">
        <f t="shared" si="3"/>
        <v>296099.54911031626</v>
      </c>
      <c r="K45" s="1">
        <f t="shared" si="4"/>
        <v>120009.14725441117</v>
      </c>
      <c r="L45" s="1">
        <f>(B$19-SUM(H$19:H44))*E$11</f>
        <v>17636.90422666664</v>
      </c>
      <c r="M45" s="1">
        <f t="shared" si="5"/>
        <v>432918.1255394478</v>
      </c>
      <c r="N45">
        <f>N44*(1/(1+'Cost of Capital'!E$21))</f>
        <v>0.16368443853086181</v>
      </c>
      <c r="O45" s="2">
        <f t="shared" si="6"/>
        <v>70861.96030875767</v>
      </c>
      <c r="P45" s="1">
        <f t="shared" si="11"/>
        <v>6993954</v>
      </c>
      <c r="Q45" s="1">
        <f t="shared" si="7"/>
        <v>1144801.433600675</v>
      </c>
      <c r="S45" s="1">
        <v>248000</v>
      </c>
      <c r="T45" s="1">
        <f t="shared" si="12"/>
        <v>40593.74075565373</v>
      </c>
      <c r="U45">
        <f t="shared" si="15"/>
        <v>27</v>
      </c>
      <c r="V45" s="30">
        <f t="shared" si="13"/>
        <v>-184918.12553944782</v>
      </c>
      <c r="W45" s="30">
        <f t="shared" si="14"/>
        <v>-30268.21955310394</v>
      </c>
    </row>
    <row r="46" spans="1:23" ht="12.75">
      <c r="A46">
        <f t="shared" si="8"/>
        <v>28</v>
      </c>
      <c r="B46" s="1">
        <f t="shared" si="9"/>
        <v>450127.00363563414</v>
      </c>
      <c r="C46" s="1">
        <f t="shared" si="10"/>
        <v>300288.9044413675</v>
      </c>
      <c r="D46" s="1">
        <f t="shared" si="0"/>
        <v>375207.9540385008</v>
      </c>
      <c r="E46" s="1">
        <f>D46*SUM('Cost of Capital'!E$17:E$17)</f>
        <v>12194.258506251275</v>
      </c>
      <c r="F46" s="1">
        <f>D46*'Cost of Capital'!E$16</f>
        <v>18760.39770192504</v>
      </c>
      <c r="G46" s="1">
        <v>0</v>
      </c>
      <c r="H46" s="1">
        <f t="shared" si="1"/>
        <v>251955.77466666666</v>
      </c>
      <c r="I46" s="2">
        <f t="shared" si="2"/>
        <v>-102117.67547239999</v>
      </c>
      <c r="J46" s="1">
        <f t="shared" si="3"/>
        <v>283501.7603769829</v>
      </c>
      <c r="K46" s="1">
        <f t="shared" si="4"/>
        <v>114903.26348079117</v>
      </c>
      <c r="L46" s="1">
        <f>(B$19-SUM(H$19:H45))*E$11</f>
        <v>13227.678169999968</v>
      </c>
      <c r="M46" s="1">
        <f t="shared" si="5"/>
        <v>411041.3725256341</v>
      </c>
      <c r="N46">
        <f>N45*(1/(1+'Cost of Capital'!E$21))</f>
        <v>0.15307228165626657</v>
      </c>
      <c r="O46" s="2">
        <f t="shared" si="6"/>
        <v>62919.04074762226</v>
      </c>
      <c r="P46" s="1">
        <f t="shared" si="11"/>
        <v>6993954</v>
      </c>
      <c r="Q46" s="1">
        <f t="shared" si="7"/>
        <v>1070580.4965789723</v>
      </c>
      <c r="S46" s="1">
        <v>248000</v>
      </c>
      <c r="T46" s="1">
        <f t="shared" si="12"/>
        <v>37961.92585075411</v>
      </c>
      <c r="U46">
        <f t="shared" si="15"/>
        <v>28</v>
      </c>
      <c r="V46" s="30">
        <f t="shared" si="13"/>
        <v>-163041.37252563413</v>
      </c>
      <c r="W46" s="30">
        <f t="shared" si="14"/>
        <v>-24957.114896868152</v>
      </c>
    </row>
    <row r="47" spans="1:23" ht="12.75">
      <c r="A47">
        <f t="shared" si="8"/>
        <v>29</v>
      </c>
      <c r="B47" s="1">
        <f t="shared" si="9"/>
        <v>300288.9044413675</v>
      </c>
      <c r="C47" s="1">
        <f t="shared" si="10"/>
        <v>150450.80524710083</v>
      </c>
      <c r="D47" s="1">
        <f t="shared" si="0"/>
        <v>225369.85484423416</v>
      </c>
      <c r="E47" s="1">
        <f>D47*SUM('Cost of Capital'!E$17:E$17)</f>
        <v>7324.52028243761</v>
      </c>
      <c r="F47" s="1">
        <f>D47*'Cost of Capital'!E$16</f>
        <v>11268.492742211709</v>
      </c>
      <c r="G47" s="1">
        <v>0</v>
      </c>
      <c r="H47" s="1">
        <f t="shared" si="1"/>
        <v>251955.77466666666</v>
      </c>
      <c r="I47" s="2">
        <f t="shared" si="2"/>
        <v>-102117.67547239999</v>
      </c>
      <c r="J47" s="1">
        <f t="shared" si="3"/>
        <v>270903.97164364957</v>
      </c>
      <c r="K47" s="1">
        <f t="shared" si="4"/>
        <v>109797.37970717117</v>
      </c>
      <c r="L47" s="1">
        <f>(B$19-SUM(H$19:H46))*E$11</f>
        <v>8818.452113333296</v>
      </c>
      <c r="M47" s="1">
        <f t="shared" si="5"/>
        <v>389164.61951182043</v>
      </c>
      <c r="N47">
        <f>N46*(1/(1+'Cost of Capital'!E$21))</f>
        <v>0.14314814298634498</v>
      </c>
      <c r="O47" s="2">
        <f t="shared" si="6"/>
        <v>55708.192599104616</v>
      </c>
      <c r="P47" s="1">
        <f t="shared" si="11"/>
        <v>6993954</v>
      </c>
      <c r="Q47" s="1">
        <f t="shared" si="7"/>
        <v>1001171.5272319195</v>
      </c>
      <c r="S47" s="1">
        <v>248000</v>
      </c>
      <c r="T47" s="1">
        <f t="shared" si="12"/>
        <v>35500.73946061356</v>
      </c>
      <c r="U47">
        <f t="shared" si="15"/>
        <v>29</v>
      </c>
      <c r="V47" s="30">
        <f t="shared" si="13"/>
        <v>-141164.61951182043</v>
      </c>
      <c r="W47" s="30">
        <f t="shared" si="14"/>
        <v>-20207.45313849106</v>
      </c>
    </row>
    <row r="48" spans="1:23" ht="12.75">
      <c r="A48">
        <f t="shared" si="8"/>
        <v>30</v>
      </c>
      <c r="B48" s="1">
        <f t="shared" si="9"/>
        <v>150450.80524710083</v>
      </c>
      <c r="C48" s="1">
        <f t="shared" si="10"/>
        <v>612.7060528341535</v>
      </c>
      <c r="D48" s="1">
        <f t="shared" si="0"/>
        <v>75531.7556499675</v>
      </c>
      <c r="E48" s="1">
        <f>D48*SUM('Cost of Capital'!E$17:E$17)</f>
        <v>2454.7820586239436</v>
      </c>
      <c r="F48" s="1">
        <f>D48*'Cost of Capital'!E$16</f>
        <v>3776.587782498375</v>
      </c>
      <c r="G48" s="1">
        <v>0</v>
      </c>
      <c r="H48" s="1">
        <f t="shared" si="1"/>
        <v>251955.77466666666</v>
      </c>
      <c r="I48" s="2">
        <f t="shared" si="2"/>
        <v>-102117.67547239999</v>
      </c>
      <c r="J48" s="1">
        <f t="shared" si="3"/>
        <v>258306.18291031622</v>
      </c>
      <c r="K48" s="1">
        <f t="shared" si="4"/>
        <v>104691.49593355117</v>
      </c>
      <c r="L48" s="1">
        <f>(B$19-SUM(H$19:H47))*E$11</f>
        <v>4409.226056666624</v>
      </c>
      <c r="M48" s="1">
        <f t="shared" si="5"/>
        <v>367287.8664980068</v>
      </c>
      <c r="N48">
        <f>N47*(1/(1+'Cost of Capital'!E$21))</f>
        <v>0.1338674162214017</v>
      </c>
      <c r="O48" s="2">
        <f t="shared" si="6"/>
        <v>49167.87769755929</v>
      </c>
      <c r="P48" s="1">
        <f t="shared" si="11"/>
        <v>6993954</v>
      </c>
      <c r="Q48" s="1">
        <f t="shared" si="7"/>
        <v>936262.5511513372</v>
      </c>
      <c r="S48" s="1">
        <v>248000</v>
      </c>
      <c r="T48" s="1">
        <f t="shared" si="12"/>
        <v>33199.11922290762</v>
      </c>
      <c r="U48">
        <f t="shared" si="15"/>
        <v>30</v>
      </c>
      <c r="V48" s="30">
        <f t="shared" si="13"/>
        <v>-119287.8664980068</v>
      </c>
      <c r="W48" s="30">
        <f t="shared" si="14"/>
        <v>-15968.758474651673</v>
      </c>
    </row>
    <row r="49" spans="1:23" ht="12.75" hidden="1">
      <c r="A49">
        <f t="shared" si="8"/>
        <v>31</v>
      </c>
      <c r="B49" s="1">
        <f t="shared" si="9"/>
        <v>612.7060528341535</v>
      </c>
      <c r="C49" s="1">
        <f t="shared" si="10"/>
        <v>-149225.39314143255</v>
      </c>
      <c r="D49" s="1">
        <f t="shared" si="0"/>
        <v>-74306.34354429919</v>
      </c>
      <c r="E49" s="1">
        <f>D49*SUM('Cost of Capital'!E$17:E$17)</f>
        <v>-2414.956165189724</v>
      </c>
      <c r="F49" s="1">
        <f>D49*'Cost of Capital'!E$16</f>
        <v>-3715.31717721496</v>
      </c>
      <c r="G49" s="1">
        <v>0</v>
      </c>
      <c r="H49" s="1">
        <f t="shared" si="1"/>
        <v>251955.77466666666</v>
      </c>
      <c r="I49" s="2">
        <f t="shared" si="2"/>
        <v>-102117.67547239999</v>
      </c>
      <c r="J49" s="1">
        <f t="shared" si="3"/>
        <v>245708.39417698287</v>
      </c>
      <c r="K49" s="1">
        <f t="shared" si="4"/>
        <v>99585.61215993116</v>
      </c>
      <c r="L49" s="1">
        <f>(B$19-SUM(H$19:H48))*E$11</f>
        <v>-4.8894435167312627E-11</v>
      </c>
      <c r="M49" s="1">
        <f t="shared" si="5"/>
        <v>345411.11348419305</v>
      </c>
      <c r="N49">
        <f>N48*(1/(1+'Cost of Capital'!E$21))</f>
        <v>0.12518838702296997</v>
      </c>
      <c r="O49" s="4">
        <f t="shared" si="6"/>
        <v>43241.46015689416</v>
      </c>
      <c r="P49" s="1">
        <f t="shared" si="11"/>
        <v>6993954</v>
      </c>
      <c r="Q49" s="1">
        <f t="shared" si="7"/>
        <v>875561.8201728489</v>
      </c>
      <c r="S49" s="1">
        <v>50000</v>
      </c>
      <c r="T49" s="1">
        <f t="shared" si="12"/>
        <v>6259.419351148498</v>
      </c>
      <c r="U49">
        <f t="shared" si="15"/>
        <v>31</v>
      </c>
      <c r="V49" s="30">
        <f t="shared" si="13"/>
        <v>-295411.11348419305</v>
      </c>
      <c r="W49" s="30">
        <f t="shared" si="14"/>
        <v>-36982.04080574566</v>
      </c>
    </row>
    <row r="50" spans="1:23" ht="12.75" hidden="1">
      <c r="A50">
        <f t="shared" si="8"/>
        <v>32</v>
      </c>
      <c r="B50" s="1">
        <f t="shared" si="9"/>
        <v>-149225.39314143255</v>
      </c>
      <c r="C50" s="1">
        <f t="shared" si="10"/>
        <v>-299063.4923356992</v>
      </c>
      <c r="D50" s="1">
        <f t="shared" si="0"/>
        <v>-224144.44273856588</v>
      </c>
      <c r="E50" s="1">
        <f>D50*SUM('Cost of Capital'!E$17:E$17)</f>
        <v>-7284.694389003392</v>
      </c>
      <c r="F50" s="1">
        <f>D50*'Cost of Capital'!E$16</f>
        <v>-11207.222136928294</v>
      </c>
      <c r="G50" s="1">
        <v>0</v>
      </c>
      <c r="H50" s="1">
        <f t="shared" si="1"/>
        <v>251955.77466666666</v>
      </c>
      <c r="I50" s="2">
        <f t="shared" si="2"/>
        <v>-102117.67547239999</v>
      </c>
      <c r="J50" s="1">
        <f t="shared" si="3"/>
        <v>233110.60544364952</v>
      </c>
      <c r="K50" s="1">
        <f t="shared" si="4"/>
        <v>94479.72838631115</v>
      </c>
      <c r="L50" s="1">
        <f>(B$19-SUM(H$19:H49))*E$11</f>
        <v>-4409.226056666722</v>
      </c>
      <c r="M50" s="1">
        <f t="shared" si="5"/>
        <v>323534.36047037947</v>
      </c>
      <c r="N50">
        <f>N49*(1/(1+'Cost of Capital'!E$21))</f>
        <v>0.11707204551922455</v>
      </c>
      <c r="O50" s="4">
        <f t="shared" si="6"/>
        <v>37876.82937602147</v>
      </c>
      <c r="P50" s="1">
        <f t="shared" si="11"/>
        <v>6993954</v>
      </c>
      <c r="Q50" s="1">
        <f t="shared" si="7"/>
        <v>818796.5010473626</v>
      </c>
      <c r="S50" s="1">
        <f>+S49</f>
        <v>50000</v>
      </c>
      <c r="T50" s="1">
        <f t="shared" si="12"/>
        <v>5853.602275961228</v>
      </c>
      <c r="U50">
        <f t="shared" si="15"/>
        <v>32</v>
      </c>
      <c r="V50" s="30">
        <f t="shared" si="13"/>
        <v>-273534.36047037947</v>
      </c>
      <c r="W50" s="30">
        <f t="shared" si="14"/>
        <v>-32023.227100060245</v>
      </c>
    </row>
    <row r="51" spans="1:23" ht="12.75" hidden="1">
      <c r="A51">
        <f t="shared" si="8"/>
        <v>33</v>
      </c>
      <c r="B51" s="1">
        <f t="shared" si="9"/>
        <v>-299063.4923356992</v>
      </c>
      <c r="C51" s="1">
        <f t="shared" si="10"/>
        <v>-448901.5915299659</v>
      </c>
      <c r="D51" s="1">
        <f t="shared" si="0"/>
        <v>-373982.54193283257</v>
      </c>
      <c r="E51" s="1">
        <f>D51*SUM('Cost of Capital'!E$17:E$17)</f>
        <v>-12154.43261281706</v>
      </c>
      <c r="F51" s="1">
        <f>D51*'Cost of Capital'!E$16</f>
        <v>-18699.12709664163</v>
      </c>
      <c r="G51" s="1">
        <v>0</v>
      </c>
      <c r="H51" s="1">
        <f t="shared" si="1"/>
        <v>251955.77466666666</v>
      </c>
      <c r="I51" s="2">
        <f t="shared" si="2"/>
        <v>-102117.67547239999</v>
      </c>
      <c r="J51" s="1">
        <f t="shared" si="3"/>
        <v>220512.81671031617</v>
      </c>
      <c r="K51" s="1">
        <f t="shared" si="4"/>
        <v>89373.84461269114</v>
      </c>
      <c r="L51" s="1">
        <f>(B$19-SUM(H$19:H50))*E$11</f>
        <v>-8818.452113333395</v>
      </c>
      <c r="M51" s="1">
        <f t="shared" si="5"/>
        <v>301657.6074565657</v>
      </c>
      <c r="N51">
        <f>N50*(1/(1+'Cost of Capital'!E$21))</f>
        <v>0.10948191096623515</v>
      </c>
      <c r="O51" s="4">
        <f t="shared" si="6"/>
        <v>33026.05132184724</v>
      </c>
      <c r="P51" s="1">
        <f t="shared" si="11"/>
        <v>6993954</v>
      </c>
      <c r="Q51" s="1">
        <f t="shared" si="7"/>
        <v>765711.4491299442</v>
      </c>
      <c r="S51" s="1">
        <f aca="true" t="shared" si="17" ref="S51:S58">+S50</f>
        <v>50000</v>
      </c>
      <c r="T51" s="1">
        <f t="shared" si="12"/>
        <v>5474.095548311758</v>
      </c>
      <c r="U51">
        <f t="shared" si="15"/>
        <v>33</v>
      </c>
      <c r="V51" s="30">
        <f t="shared" si="13"/>
        <v>-251657.60745656572</v>
      </c>
      <c r="W51" s="30">
        <f t="shared" si="14"/>
        <v>-27551.955773535483</v>
      </c>
    </row>
    <row r="52" spans="1:23" ht="12.75" hidden="1">
      <c r="A52">
        <f t="shared" si="8"/>
        <v>34</v>
      </c>
      <c r="B52" s="1">
        <f t="shared" si="9"/>
        <v>-448901.5915299659</v>
      </c>
      <c r="C52" s="1">
        <f t="shared" si="10"/>
        <v>-598739.6907242326</v>
      </c>
      <c r="D52" s="1">
        <f t="shared" si="0"/>
        <v>-523820.6411270993</v>
      </c>
      <c r="E52" s="1">
        <f>D52*SUM('Cost of Capital'!E$17:E$17)</f>
        <v>-17024.17083663073</v>
      </c>
      <c r="F52" s="1">
        <f>D52*'Cost of Capital'!E$16</f>
        <v>-26191.032056354965</v>
      </c>
      <c r="G52" s="1">
        <v>0</v>
      </c>
      <c r="H52" s="1">
        <f t="shared" si="1"/>
        <v>251955.77466666666</v>
      </c>
      <c r="I52" s="2">
        <f t="shared" si="2"/>
        <v>-102117.67547239999</v>
      </c>
      <c r="J52" s="1">
        <f t="shared" si="3"/>
        <v>207915.02797698285</v>
      </c>
      <c r="K52" s="1">
        <f t="shared" si="4"/>
        <v>84267.96083907115</v>
      </c>
      <c r="L52" s="1">
        <f>(B$19-SUM(H$19:H51))*E$11</f>
        <v>-13227.678170000067</v>
      </c>
      <c r="M52" s="1">
        <f t="shared" si="5"/>
        <v>279780.854442752</v>
      </c>
      <c r="N52">
        <f>N51*(1/(1+'Cost of Capital'!E$21))</f>
        <v>0.10238386777696094</v>
      </c>
      <c r="O52" s="4">
        <f t="shared" si="6"/>
        <v>28645.04600779188</v>
      </c>
      <c r="P52" s="1">
        <f t="shared" si="11"/>
        <v>6993954</v>
      </c>
      <c r="Q52" s="1">
        <f t="shared" si="7"/>
        <v>716068.0615741471</v>
      </c>
      <c r="S52" s="1">
        <f t="shared" si="17"/>
        <v>50000</v>
      </c>
      <c r="T52" s="1">
        <f t="shared" si="12"/>
        <v>5119.193388848047</v>
      </c>
      <c r="U52">
        <f t="shared" si="15"/>
        <v>34</v>
      </c>
      <c r="V52" s="30">
        <f t="shared" si="13"/>
        <v>-229780.85444275202</v>
      </c>
      <c r="W52" s="30">
        <f t="shared" si="14"/>
        <v>-23525.852618943834</v>
      </c>
    </row>
    <row r="53" spans="1:23" ht="12.75" hidden="1">
      <c r="A53">
        <f t="shared" si="8"/>
        <v>35</v>
      </c>
      <c r="B53" s="1">
        <f t="shared" si="9"/>
        <v>-598739.6907242326</v>
      </c>
      <c r="C53" s="1">
        <f t="shared" si="10"/>
        <v>-748577.7899184992</v>
      </c>
      <c r="D53" s="1">
        <f t="shared" si="0"/>
        <v>-673658.7403213659</v>
      </c>
      <c r="E53" s="1">
        <f>D53*SUM('Cost of Capital'!E$17:E$17)</f>
        <v>-21893.90906044439</v>
      </c>
      <c r="F53" s="1">
        <f>D53*'Cost of Capital'!E$16</f>
        <v>-33682.937016068296</v>
      </c>
      <c r="G53" s="1">
        <v>0</v>
      </c>
      <c r="H53" s="1">
        <f t="shared" si="1"/>
        <v>251955.77466666666</v>
      </c>
      <c r="I53" s="2">
        <f t="shared" si="2"/>
        <v>-102117.67547239999</v>
      </c>
      <c r="J53" s="1">
        <f t="shared" si="3"/>
        <v>195317.23924364956</v>
      </c>
      <c r="K53" s="1">
        <f t="shared" si="4"/>
        <v>79162.07706545116</v>
      </c>
      <c r="L53" s="1">
        <f>(B$19-SUM(H$19:H52))*E$11</f>
        <v>-17636.904226666724</v>
      </c>
      <c r="M53" s="1">
        <f t="shared" si="5"/>
        <v>257904.1014289384</v>
      </c>
      <c r="N53">
        <f>N52*(1/(1+'Cost of Capital'!E$21))</f>
        <v>0.09574601218098094</v>
      </c>
      <c r="O53" s="4">
        <f t="shared" si="6"/>
        <v>24693.28923694008</v>
      </c>
      <c r="P53" s="1">
        <f t="shared" si="11"/>
        <v>6993954</v>
      </c>
      <c r="Q53" s="1">
        <f t="shared" si="7"/>
        <v>669643.2048772204</v>
      </c>
      <c r="S53" s="1">
        <f t="shared" si="17"/>
        <v>50000</v>
      </c>
      <c r="T53" s="1">
        <f t="shared" si="12"/>
        <v>4787.300609049047</v>
      </c>
      <c r="U53">
        <f t="shared" si="15"/>
        <v>35</v>
      </c>
      <c r="V53" s="30">
        <f t="shared" si="13"/>
        <v>-207904.1014289384</v>
      </c>
      <c r="W53" s="30">
        <f t="shared" si="14"/>
        <v>-19905.988627891034</v>
      </c>
    </row>
    <row r="54" spans="1:23" ht="12.75" hidden="1">
      <c r="A54">
        <f t="shared" si="8"/>
        <v>36</v>
      </c>
      <c r="B54" s="1">
        <f t="shared" si="9"/>
        <v>-748577.7899184992</v>
      </c>
      <c r="C54" s="1">
        <f t="shared" si="10"/>
        <v>-898415.8891127658</v>
      </c>
      <c r="D54" s="1">
        <f t="shared" si="0"/>
        <v>-823496.8395156325</v>
      </c>
      <c r="E54" s="1">
        <f>D54*SUM('Cost of Capital'!E$17:E$17)</f>
        <v>-26763.647284258055</v>
      </c>
      <c r="F54" s="1">
        <f>D54*'Cost of Capital'!E$16</f>
        <v>-41174.84197578163</v>
      </c>
      <c r="G54" s="1">
        <v>0</v>
      </c>
      <c r="H54" s="1">
        <f t="shared" si="1"/>
        <v>251955.77466666666</v>
      </c>
      <c r="I54" s="2">
        <f t="shared" si="2"/>
        <v>-102117.67547239999</v>
      </c>
      <c r="J54" s="1">
        <f t="shared" si="3"/>
        <v>182719.4505103162</v>
      </c>
      <c r="K54" s="1">
        <f t="shared" si="4"/>
        <v>74056.19329183116</v>
      </c>
      <c r="L54" s="1">
        <f>(B$19-SUM(H$19:H53))*E$11</f>
        <v>-22046.130283333398</v>
      </c>
      <c r="M54" s="1">
        <f t="shared" si="5"/>
        <v>236027.34841512478</v>
      </c>
      <c r="N54">
        <f>N53*(1/(1+'Cost of Capital'!E$21))</f>
        <v>0.08953850882573743</v>
      </c>
      <c r="O54" s="4">
        <f t="shared" si="6"/>
        <v>21133.536819183053</v>
      </c>
      <c r="P54" s="1">
        <f t="shared" si="11"/>
        <v>6993954</v>
      </c>
      <c r="Q54" s="1">
        <f t="shared" si="7"/>
        <v>626228.2119558016</v>
      </c>
      <c r="S54" s="1">
        <f t="shared" si="17"/>
        <v>50000</v>
      </c>
      <c r="T54" s="1">
        <f t="shared" si="12"/>
        <v>4476.925441286871</v>
      </c>
      <c r="U54">
        <f t="shared" si="15"/>
        <v>36</v>
      </c>
      <c r="V54" s="30">
        <f t="shared" si="13"/>
        <v>-186027.34841512478</v>
      </c>
      <c r="W54" s="30">
        <f t="shared" si="14"/>
        <v>-16656.61137789618</v>
      </c>
    </row>
    <row r="55" spans="1:23" ht="12.75" hidden="1">
      <c r="A55">
        <f t="shared" si="8"/>
        <v>37</v>
      </c>
      <c r="B55" s="1">
        <f t="shared" si="9"/>
        <v>-898415.8891127658</v>
      </c>
      <c r="C55" s="1">
        <f t="shared" si="10"/>
        <v>-1048253.9883070324</v>
      </c>
      <c r="D55" s="1">
        <f t="shared" si="0"/>
        <v>-973334.9387098991</v>
      </c>
      <c r="E55" s="1">
        <f>D55*SUM('Cost of Capital'!E$17:E$17)</f>
        <v>-31633.385508071722</v>
      </c>
      <c r="F55" s="1">
        <f>D55*'Cost of Capital'!E$16</f>
        <v>-48666.74693549496</v>
      </c>
      <c r="G55" s="1">
        <v>0</v>
      </c>
      <c r="H55" s="1">
        <f t="shared" si="1"/>
        <v>251955.77466666666</v>
      </c>
      <c r="I55" s="2">
        <f t="shared" si="2"/>
        <v>-102117.67547239999</v>
      </c>
      <c r="J55" s="1">
        <f t="shared" si="3"/>
        <v>170121.66177698286</v>
      </c>
      <c r="K55" s="1">
        <f t="shared" si="4"/>
        <v>68950.30951821116</v>
      </c>
      <c r="L55" s="1">
        <f>(B$19-SUM(H$19:H54))*E$11</f>
        <v>-26455.356340000068</v>
      </c>
      <c r="M55" s="1">
        <f t="shared" si="5"/>
        <v>214150.59540131112</v>
      </c>
      <c r="N55">
        <f>N54*(1/(1+'Cost of Capital'!E$21))</f>
        <v>0.08373345667475424</v>
      </c>
      <c r="O55" s="4">
        <f t="shared" si="6"/>
        <v>17931.569601908508</v>
      </c>
      <c r="P55" s="1">
        <f t="shared" si="11"/>
        <v>6993954</v>
      </c>
      <c r="Q55" s="1">
        <f t="shared" si="7"/>
        <v>585627.9442442241</v>
      </c>
      <c r="S55" s="1">
        <f t="shared" si="17"/>
        <v>50000</v>
      </c>
      <c r="T55" s="1">
        <f t="shared" si="12"/>
        <v>4186.672833737712</v>
      </c>
      <c r="U55">
        <f t="shared" si="15"/>
        <v>37</v>
      </c>
      <c r="V55" s="30">
        <f t="shared" si="13"/>
        <v>-164150.59540131112</v>
      </c>
      <c r="W55" s="30">
        <f t="shared" si="14"/>
        <v>-13744.896768170796</v>
      </c>
    </row>
    <row r="56" spans="1:23" ht="12.75" hidden="1">
      <c r="A56">
        <f t="shared" si="8"/>
        <v>38</v>
      </c>
      <c r="B56" s="1">
        <f t="shared" si="9"/>
        <v>-1048253.9883070324</v>
      </c>
      <c r="C56" s="1">
        <f t="shared" si="10"/>
        <v>-1198092.087501299</v>
      </c>
      <c r="D56" s="1">
        <f t="shared" si="0"/>
        <v>-1123173.0379041657</v>
      </c>
      <c r="E56" s="1">
        <f>D56*SUM('Cost of Capital'!E$17:E$17)</f>
        <v>-36503.12373188539</v>
      </c>
      <c r="F56" s="1">
        <f>D56*'Cost of Capital'!E$16</f>
        <v>-56158.651895208284</v>
      </c>
      <c r="G56" s="1">
        <v>0</v>
      </c>
      <c r="H56" s="1">
        <f t="shared" si="1"/>
        <v>251955.77466666666</v>
      </c>
      <c r="I56" s="2">
        <f t="shared" si="2"/>
        <v>-102117.67547239999</v>
      </c>
      <c r="J56" s="1">
        <f t="shared" si="3"/>
        <v>157523.87304364954</v>
      </c>
      <c r="K56" s="1">
        <f t="shared" si="4"/>
        <v>63844.42574459116</v>
      </c>
      <c r="L56" s="1">
        <f>(B$19-SUM(H$19:H55))*E$11</f>
        <v>-30864.58239666674</v>
      </c>
      <c r="M56" s="1">
        <f t="shared" si="5"/>
        <v>192273.8423874974</v>
      </c>
      <c r="N56">
        <f>N55*(1/(1+'Cost of Capital'!E$21))</f>
        <v>0.07830476360007887</v>
      </c>
      <c r="O56" s="4">
        <f t="shared" si="6"/>
        <v>15055.957774631808</v>
      </c>
      <c r="P56" s="1">
        <f t="shared" si="11"/>
        <v>6993954</v>
      </c>
      <c r="Q56" s="1">
        <f t="shared" si="7"/>
        <v>547659.9145998261</v>
      </c>
      <c r="S56" s="1">
        <f t="shared" si="17"/>
        <v>50000</v>
      </c>
      <c r="T56" s="1">
        <f t="shared" si="12"/>
        <v>3915.238180003944</v>
      </c>
      <c r="U56">
        <f t="shared" si="15"/>
        <v>38</v>
      </c>
      <c r="V56" s="30">
        <f t="shared" si="13"/>
        <v>-142273.8423874974</v>
      </c>
      <c r="W56" s="30">
        <f t="shared" si="14"/>
        <v>-11140.719594627864</v>
      </c>
    </row>
    <row r="57" spans="1:23" ht="12.75" hidden="1">
      <c r="A57">
        <f t="shared" si="8"/>
        <v>39</v>
      </c>
      <c r="B57" s="1">
        <f t="shared" si="9"/>
        <v>-1198092.087501299</v>
      </c>
      <c r="C57" s="1">
        <f t="shared" si="10"/>
        <v>-1347930.186695566</v>
      </c>
      <c r="D57" s="1">
        <f t="shared" si="0"/>
        <v>-1273011.1370984325</v>
      </c>
      <c r="E57" s="1">
        <f>D57*SUM('Cost of Capital'!E$17:E$17)</f>
        <v>-41372.86195569906</v>
      </c>
      <c r="F57" s="1">
        <f>D57*'Cost of Capital'!E$16</f>
        <v>-63650.556854921626</v>
      </c>
      <c r="G57" s="1">
        <v>0</v>
      </c>
      <c r="H57" s="1">
        <f t="shared" si="1"/>
        <v>251955.77466666666</v>
      </c>
      <c r="I57" s="2">
        <f t="shared" si="2"/>
        <v>-102117.67547239999</v>
      </c>
      <c r="J57" s="1">
        <f t="shared" si="3"/>
        <v>144926.0843103162</v>
      </c>
      <c r="K57" s="1">
        <f t="shared" si="4"/>
        <v>58738.54197097115</v>
      </c>
      <c r="L57" s="1">
        <f>(B$19-SUM(H$19:H56))*E$11</f>
        <v>-35273.80845333341</v>
      </c>
      <c r="M57" s="1">
        <f t="shared" si="5"/>
        <v>170397.0893736837</v>
      </c>
      <c r="N57">
        <f>N56*(1/(1+'Cost of Capital'!E$21))</f>
        <v>0.07322802910527561</v>
      </c>
      <c r="O57" s="4">
        <f t="shared" si="6"/>
        <v>12477.843020110358</v>
      </c>
      <c r="P57" s="1">
        <f t="shared" si="11"/>
        <v>6993954</v>
      </c>
      <c r="Q57" s="1">
        <f t="shared" si="7"/>
        <v>512153.46707295877</v>
      </c>
      <c r="S57" s="1">
        <f t="shared" si="17"/>
        <v>50000</v>
      </c>
      <c r="T57" s="1">
        <f t="shared" si="12"/>
        <v>3661.4014552637805</v>
      </c>
      <c r="U57">
        <f t="shared" si="15"/>
        <v>39</v>
      </c>
      <c r="V57" s="30">
        <f t="shared" si="13"/>
        <v>-120397.0893736837</v>
      </c>
      <c r="W57" s="30">
        <f t="shared" si="14"/>
        <v>-8816.441564846578</v>
      </c>
    </row>
    <row r="58" spans="1:23" ht="12.75" hidden="1">
      <c r="A58">
        <f t="shared" si="8"/>
        <v>40</v>
      </c>
      <c r="B58" s="1">
        <f t="shared" si="9"/>
        <v>-1347930.186695566</v>
      </c>
      <c r="C58" s="1">
        <f t="shared" si="10"/>
        <v>-1497768.2858898328</v>
      </c>
      <c r="D58" s="1">
        <f t="shared" si="0"/>
        <v>-1422849.2362926994</v>
      </c>
      <c r="E58" s="1">
        <f>D58*SUM('Cost of Capital'!E$17:E$17)</f>
        <v>-46242.60017951273</v>
      </c>
      <c r="F58" s="1">
        <f>D58*'Cost of Capital'!E$16</f>
        <v>-71142.46181463497</v>
      </c>
      <c r="G58" s="1">
        <v>0</v>
      </c>
      <c r="H58" s="1">
        <f t="shared" si="1"/>
        <v>251955.77466666666</v>
      </c>
      <c r="I58" s="2">
        <f t="shared" si="2"/>
        <v>-102117.67547239999</v>
      </c>
      <c r="J58" s="1">
        <f t="shared" si="3"/>
        <v>132328.29557698287</v>
      </c>
      <c r="K58" s="1">
        <f t="shared" si="4"/>
        <v>53632.65819735116</v>
      </c>
      <c r="L58" s="1">
        <f>(B$19-SUM(H$19:H57))*E$11</f>
        <v>-39683.034510000085</v>
      </c>
      <c r="M58" s="1">
        <f t="shared" si="5"/>
        <v>148520.33635987004</v>
      </c>
      <c r="N58">
        <f>N57*(1/(1+'Cost of Capital'!E$21))</f>
        <v>0.06848043465184141</v>
      </c>
      <c r="O58" s="4">
        <f t="shared" si="6"/>
        <v>10170.737188561585</v>
      </c>
      <c r="P58" s="1">
        <f t="shared" si="11"/>
        <v>6993954</v>
      </c>
      <c r="Q58" s="1">
        <f t="shared" si="7"/>
        <v>478949.0098549848</v>
      </c>
      <c r="S58" s="1">
        <f t="shared" si="17"/>
        <v>50000</v>
      </c>
      <c r="T58" s="1">
        <f t="shared" si="12"/>
        <v>3424.0217325920703</v>
      </c>
      <c r="U58">
        <f t="shared" si="15"/>
        <v>40</v>
      </c>
      <c r="V58" s="30">
        <f t="shared" si="13"/>
        <v>-98520.33635987004</v>
      </c>
      <c r="W58" s="30">
        <f t="shared" si="14"/>
        <v>-6746.715455969515</v>
      </c>
    </row>
    <row r="59" spans="12:23" ht="12.75">
      <c r="L59" s="1"/>
      <c r="M59" s="1"/>
      <c r="S59" s="1"/>
      <c r="T59" s="1"/>
      <c r="V59" s="30"/>
      <c r="W59" s="30"/>
    </row>
    <row r="60" spans="5:23" ht="12.75">
      <c r="E60" s="1">
        <f>SUM(E19:E48)</f>
        <v>3154222.956855598</v>
      </c>
      <c r="F60" s="1">
        <f>SUM(F19:F48)</f>
        <v>4964045.39782401</v>
      </c>
      <c r="G60" s="1">
        <f>SUM(G19:G48)</f>
        <v>7557161.505351996</v>
      </c>
      <c r="H60" s="1">
        <f>SUM(H19:H48)</f>
        <v>7558673.240000003</v>
      </c>
      <c r="I60" s="2">
        <f>SUM(I19:I48)</f>
        <v>-612.7060528338479</v>
      </c>
      <c r="K60" s="1">
        <f>SUM(K19:K48)</f>
        <v>3383709.3930178112</v>
      </c>
      <c r="L60" s="1">
        <f>SUM(L19:L48)</f>
        <v>2050290.11635</v>
      </c>
      <c r="M60" s="1">
        <f>SUM(M19:M48)</f>
        <v>21110941.104047418</v>
      </c>
      <c r="O60" s="1">
        <f>SUM(O19:O48)</f>
        <v>10576441.367188467</v>
      </c>
      <c r="P60" s="1">
        <v>6993954</v>
      </c>
      <c r="Q60" s="1">
        <f>SUM(Q19:Q58)</f>
        <v>93973985.74373198</v>
      </c>
      <c r="S60" s="1">
        <f>SUM(S19:S48)</f>
        <v>20535000</v>
      </c>
      <c r="T60" s="1">
        <f>SUM(T19:T48)</f>
        <v>10837381.976054117</v>
      </c>
      <c r="U60" s="1">
        <f>SUM(U19:U48)</f>
        <v>465</v>
      </c>
      <c r="V60" s="2">
        <f>SUM(V19:V48)</f>
        <v>-575941.1040474172</v>
      </c>
      <c r="W60" s="1">
        <f>SUM(W19:W48)</f>
        <v>260940.6088656512</v>
      </c>
    </row>
    <row r="61" ht="12.75">
      <c r="M61" s="3"/>
    </row>
  </sheetData>
  <sheetProtection/>
  <mergeCells count="4">
    <mergeCell ref="A3:W3"/>
    <mergeCell ref="M15:O15"/>
    <mergeCell ref="S15:T15"/>
    <mergeCell ref="A4:W4"/>
  </mergeCells>
  <printOptions/>
  <pageMargins left="0.25" right="0.25" top="0.25" bottom="0.25" header="0.5" footer="0.5"/>
  <pageSetup fitToHeight="1" fitToWidth="1" horizontalDpi="600" verticalDpi="600" orientation="landscape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4"/>
  <sheetViews>
    <sheetView zoomScalePageLayoutView="0" workbookViewId="0" topLeftCell="I1">
      <selection activeCell="A3" sqref="A3:W3"/>
    </sheetView>
  </sheetViews>
  <sheetFormatPr defaultColWidth="9.140625" defaultRowHeight="12.75"/>
  <cols>
    <col min="1" max="1" width="4.8515625" style="0" bestFit="1" customWidth="1"/>
    <col min="2" max="3" width="11.140625" style="0" bestFit="1" customWidth="1"/>
    <col min="4" max="6" width="11.140625" style="0" customWidth="1"/>
    <col min="7" max="7" width="11.57421875" style="0" customWidth="1"/>
    <col min="8" max="8" width="11.28125" style="0" customWidth="1"/>
    <col min="9" max="9" width="12.00390625" style="0" customWidth="1"/>
    <col min="10" max="11" width="10.421875" style="0" customWidth="1"/>
    <col min="12" max="12" width="11.140625" style="0" customWidth="1"/>
    <col min="13" max="13" width="12.57421875" style="0" customWidth="1"/>
    <col min="14" max="14" width="12.28125" style="0" hidden="1" customWidth="1"/>
    <col min="15" max="15" width="11.140625" style="0" bestFit="1" customWidth="1"/>
    <col min="16" max="16" width="13.8515625" style="0" hidden="1" customWidth="1"/>
    <col min="17" max="17" width="11.140625" style="0" hidden="1" customWidth="1"/>
    <col min="18" max="18" width="4.7109375" style="0" customWidth="1"/>
    <col min="19" max="20" width="11.7109375" style="0" bestFit="1" customWidth="1"/>
    <col min="21" max="21" width="0" style="0" hidden="1" customWidth="1"/>
    <col min="22" max="23" width="11.28125" style="0" bestFit="1" customWidth="1"/>
  </cols>
  <sheetData>
    <row r="1" ht="12.75">
      <c r="W1" s="24" t="s">
        <v>62</v>
      </c>
    </row>
    <row r="2" ht="12.75">
      <c r="W2" s="24" t="s">
        <v>78</v>
      </c>
    </row>
    <row r="3" spans="1:23" ht="12.75">
      <c r="A3" s="32" t="s">
        <v>86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</row>
    <row r="4" spans="1:23" ht="12.75">
      <c r="A4" s="32" t="s">
        <v>84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</row>
    <row r="5" spans="2:5" ht="12.75">
      <c r="B5" t="s">
        <v>36</v>
      </c>
      <c r="E5" s="1">
        <v>65082300</v>
      </c>
    </row>
    <row r="6" spans="2:5" ht="13.5" customHeight="1">
      <c r="B6" t="s">
        <v>37</v>
      </c>
      <c r="E6" s="6">
        <v>10625000</v>
      </c>
    </row>
    <row r="7" ht="13.5" customHeight="1">
      <c r="E7" s="7">
        <f>+E5-E6</f>
        <v>54457300</v>
      </c>
    </row>
    <row r="8" spans="2:17" ht="13.5" customHeight="1">
      <c r="B8" t="s">
        <v>38</v>
      </c>
      <c r="E8" s="8">
        <v>0.1388</v>
      </c>
      <c r="N8" s="23" t="s">
        <v>61</v>
      </c>
      <c r="Q8" t="s">
        <v>61</v>
      </c>
    </row>
    <row r="9" spans="2:17" ht="12.75">
      <c r="B9" t="s">
        <v>39</v>
      </c>
      <c r="E9" s="1">
        <f>+E7*E8</f>
        <v>7558673.24</v>
      </c>
      <c r="N9" s="25" t="s">
        <v>27</v>
      </c>
      <c r="Q9" t="s">
        <v>27</v>
      </c>
    </row>
    <row r="10" spans="2:18" ht="12.75">
      <c r="B10" s="5" t="s">
        <v>31</v>
      </c>
      <c r="C10" s="5"/>
      <c r="D10" s="5"/>
      <c r="E10" s="27">
        <v>50</v>
      </c>
      <c r="F10" s="1" t="s">
        <v>71</v>
      </c>
      <c r="M10" t="s">
        <v>64</v>
      </c>
      <c r="N10" s="1">
        <f>+S33</f>
        <v>1215000</v>
      </c>
      <c r="O10" s="1">
        <f>+Q10-Q11</f>
        <v>967000</v>
      </c>
      <c r="Q10" s="1">
        <f>+S33</f>
        <v>1215000</v>
      </c>
      <c r="R10" t="s">
        <v>67</v>
      </c>
    </row>
    <row r="11" spans="2:18" ht="12.75">
      <c r="B11" t="s">
        <v>35</v>
      </c>
      <c r="C11" s="1"/>
      <c r="D11" s="1"/>
      <c r="E11" s="3">
        <v>0.0175</v>
      </c>
      <c r="F11" s="1" t="s">
        <v>34</v>
      </c>
      <c r="M11" t="s">
        <v>65</v>
      </c>
      <c r="N11" s="1">
        <f>+S34</f>
        <v>248000</v>
      </c>
      <c r="O11" s="3">
        <f>+O10/Q10</f>
        <v>0.7958847736625514</v>
      </c>
      <c r="Q11" s="1">
        <f>+S34</f>
        <v>248000</v>
      </c>
      <c r="R11" t="s">
        <v>68</v>
      </c>
    </row>
    <row r="12" spans="2:18" ht="12.75">
      <c r="B12" t="s">
        <v>29</v>
      </c>
      <c r="C12" s="1"/>
      <c r="D12" s="1"/>
      <c r="E12" s="3">
        <v>0.02</v>
      </c>
      <c r="F12" s="1"/>
      <c r="M12" t="s">
        <v>66</v>
      </c>
      <c r="N12" s="1">
        <f>+S49</f>
        <v>50000</v>
      </c>
      <c r="O12" s="1">
        <f>+Q11*O11</f>
        <v>197379.42386831273</v>
      </c>
      <c r="Q12" s="1">
        <f>+S49</f>
        <v>50000</v>
      </c>
      <c r="R12" s="26" t="s">
        <v>69</v>
      </c>
    </row>
    <row r="13" spans="2:6" ht="12.75">
      <c r="B13" t="s">
        <v>30</v>
      </c>
      <c r="C13" s="1"/>
      <c r="D13" s="1"/>
      <c r="E13" s="3">
        <v>0.4053</v>
      </c>
      <c r="F13" s="1"/>
    </row>
    <row r="14" spans="2:6" ht="12.75">
      <c r="B14" s="29" t="s">
        <v>60</v>
      </c>
      <c r="C14" s="29"/>
      <c r="D14" s="29"/>
      <c r="E14" s="29">
        <v>0.13</v>
      </c>
      <c r="F14" s="3"/>
    </row>
    <row r="15" spans="3:23" ht="12.75">
      <c r="C15" s="1"/>
      <c r="D15" s="1"/>
      <c r="E15" s="3"/>
      <c r="F15" s="21"/>
      <c r="M15" s="33" t="s">
        <v>79</v>
      </c>
      <c r="N15" s="33"/>
      <c r="O15" s="33"/>
      <c r="S15" s="33" t="s">
        <v>80</v>
      </c>
      <c r="T15" s="33"/>
      <c r="V15" s="23" t="s">
        <v>74</v>
      </c>
      <c r="W15" s="23" t="s">
        <v>73</v>
      </c>
    </row>
    <row r="16" spans="1:23" ht="12.75">
      <c r="A16" t="s">
        <v>6</v>
      </c>
      <c r="B16" t="s">
        <v>3</v>
      </c>
      <c r="C16" t="s">
        <v>3</v>
      </c>
      <c r="D16" t="s">
        <v>3</v>
      </c>
      <c r="E16" t="s">
        <v>10</v>
      </c>
      <c r="F16" t="s">
        <v>10</v>
      </c>
      <c r="G16" t="s">
        <v>2</v>
      </c>
      <c r="H16" t="s">
        <v>0</v>
      </c>
      <c r="I16" t="s">
        <v>5</v>
      </c>
      <c r="J16" t="s">
        <v>17</v>
      </c>
      <c r="K16" t="s">
        <v>18</v>
      </c>
      <c r="L16" t="s">
        <v>12</v>
      </c>
      <c r="M16" t="s">
        <v>14</v>
      </c>
      <c r="N16" t="s">
        <v>24</v>
      </c>
      <c r="O16" t="s">
        <v>24</v>
      </c>
      <c r="P16" t="s">
        <v>26</v>
      </c>
      <c r="Q16" t="s">
        <v>24</v>
      </c>
      <c r="S16" t="s">
        <v>14</v>
      </c>
      <c r="T16" t="s">
        <v>24</v>
      </c>
      <c r="V16" s="23" t="s">
        <v>72</v>
      </c>
      <c r="W16" s="23" t="s">
        <v>72</v>
      </c>
    </row>
    <row r="17" spans="2:23" ht="12.75">
      <c r="B17" t="s">
        <v>7</v>
      </c>
      <c r="C17" t="s">
        <v>4</v>
      </c>
      <c r="D17" t="s">
        <v>13</v>
      </c>
      <c r="E17" s="1" t="s">
        <v>11</v>
      </c>
      <c r="F17" s="1" t="s">
        <v>9</v>
      </c>
      <c r="G17" s="1" t="s">
        <v>1</v>
      </c>
      <c r="H17" s="1" t="s">
        <v>1</v>
      </c>
      <c r="I17" s="1" t="s">
        <v>2</v>
      </c>
      <c r="J17" s="1" t="s">
        <v>16</v>
      </c>
      <c r="K17" s="1" t="s">
        <v>19</v>
      </c>
      <c r="L17" s="1" t="s">
        <v>2</v>
      </c>
      <c r="M17" s="1" t="s">
        <v>15</v>
      </c>
      <c r="N17" s="1" t="s">
        <v>25</v>
      </c>
      <c r="O17" s="1" t="s">
        <v>15</v>
      </c>
      <c r="P17" s="1" t="s">
        <v>27</v>
      </c>
      <c r="Q17" s="1" t="s">
        <v>28</v>
      </c>
      <c r="S17" s="1" t="s">
        <v>63</v>
      </c>
      <c r="T17" s="1" t="s">
        <v>15</v>
      </c>
      <c r="V17" s="23" t="s">
        <v>63</v>
      </c>
      <c r="W17" s="23" t="s">
        <v>63</v>
      </c>
    </row>
    <row r="18" spans="3:11" ht="12.75">
      <c r="C18" s="1"/>
      <c r="D18" s="1"/>
      <c r="E18" s="1"/>
      <c r="F18" s="1"/>
      <c r="G18" s="1"/>
      <c r="H18" s="1"/>
      <c r="I18" s="1"/>
      <c r="J18" s="1"/>
      <c r="K18" s="1"/>
    </row>
    <row r="19" spans="1:23" ht="12.75">
      <c r="A19">
        <v>1</v>
      </c>
      <c r="B19" s="1">
        <f>E9</f>
        <v>7558673.24</v>
      </c>
      <c r="C19" s="1">
        <f>E$9-H19-I19</f>
        <v>7353887.99557699</v>
      </c>
      <c r="D19" s="1">
        <f aca="true" t="shared" si="0" ref="D19:D58">AVERAGE(B19:C19)</f>
        <v>7456280.6177884955</v>
      </c>
      <c r="E19" s="1">
        <f>D19*SUM('Cost of Capital'!K$17:K$17)</f>
        <v>242329.1200781261</v>
      </c>
      <c r="F19" s="1">
        <f>D19*'Cost of Capital'!K$16</f>
        <v>484658.2401562522</v>
      </c>
      <c r="G19" s="1">
        <f>B$19*0.0375</f>
        <v>283450.2465</v>
      </c>
      <c r="H19" s="1">
        <f aca="true" t="shared" si="1" ref="H19:H58">E$9/E$10</f>
        <v>151173.46480000002</v>
      </c>
      <c r="I19" s="2">
        <f aca="true" t="shared" si="2" ref="I19:I58">(G19-H19)*E$13</f>
        <v>53611.77962301</v>
      </c>
      <c r="J19" s="1">
        <f aca="true" t="shared" si="3" ref="J19:J58">(+F19+H19-G19+I19)/(1-E$13)</f>
        <v>682685.7879254452</v>
      </c>
      <c r="K19" s="1">
        <f aca="true" t="shared" si="4" ref="K19:K58">J19*E$13</f>
        <v>276692.5498461829</v>
      </c>
      <c r="L19" s="1">
        <f>(B$19-SUM(H18))*E$11</f>
        <v>132276.78170000002</v>
      </c>
      <c r="M19" s="1">
        <f aca="true" t="shared" si="5" ref="M19:M58">SUM(E19:F19,H19,K19:L19)</f>
        <v>1287130.156580561</v>
      </c>
      <c r="N19">
        <f>1/(1+'Cost of Capital'!E21)</f>
        <v>0.9351669775707214</v>
      </c>
      <c r="O19" s="2">
        <f aca="true" t="shared" si="6" ref="O19:O58">M19*N19</f>
        <v>1203681.6182695727</v>
      </c>
      <c r="P19" s="1">
        <f>P70</f>
        <v>6993954</v>
      </c>
      <c r="Q19" s="1">
        <f aca="true" t="shared" si="7" ref="Q19:Q58">P19*N19</f>
        <v>6540514.823448657</v>
      </c>
      <c r="S19" s="1">
        <v>983000</v>
      </c>
      <c r="T19" s="1">
        <f>+S19*N19</f>
        <v>919269.1389520192</v>
      </c>
      <c r="U19">
        <v>1</v>
      </c>
      <c r="V19" s="30">
        <f>+S19-M19</f>
        <v>-304130.1565805611</v>
      </c>
      <c r="W19" s="30">
        <f>+T19-O19</f>
        <v>-284412.4793175536</v>
      </c>
    </row>
    <row r="20" spans="1:23" ht="12.75">
      <c r="A20">
        <f aca="true" t="shared" si="8" ref="A20:A68">A19+1</f>
        <v>2</v>
      </c>
      <c r="B20" s="1">
        <f aca="true" t="shared" si="9" ref="B20:B58">C19</f>
        <v>7353887.99557699</v>
      </c>
      <c r="C20" s="1">
        <f aca="true" t="shared" si="10" ref="C20:C58">C19-H20-I20</f>
        <v>7042798.250987211</v>
      </c>
      <c r="D20" s="1">
        <f t="shared" si="0"/>
        <v>7198343.123282101</v>
      </c>
      <c r="E20" s="1">
        <f>D20*SUM('Cost of Capital'!E$17:E$17)</f>
        <v>233946.15150666828</v>
      </c>
      <c r="F20" s="1">
        <f>D20*'Cost of Capital'!E$16</f>
        <v>359917.15616410505</v>
      </c>
      <c r="G20" s="1">
        <f>B$19*0.0722</f>
        <v>545736.207928</v>
      </c>
      <c r="H20" s="1">
        <f t="shared" si="1"/>
        <v>151173.46480000002</v>
      </c>
      <c r="I20" s="2">
        <f t="shared" si="2"/>
        <v>159916.2797897784</v>
      </c>
      <c r="J20" s="1">
        <f t="shared" si="3"/>
        <v>210645.18719671003</v>
      </c>
      <c r="K20" s="1">
        <f t="shared" si="4"/>
        <v>85374.49437082658</v>
      </c>
      <c r="L20" s="1">
        <f>(B$19-SUM(H19))*E$11</f>
        <v>129631.246066</v>
      </c>
      <c r="M20" s="1">
        <f t="shared" si="5"/>
        <v>960042.5129075999</v>
      </c>
      <c r="N20">
        <f>N19*(1/(1+'Cost of Capital'!E$21))</f>
        <v>0.8745372759387582</v>
      </c>
      <c r="O20" s="2">
        <f t="shared" si="6"/>
        <v>839592.9640236126</v>
      </c>
      <c r="P20" s="1">
        <f aca="true" t="shared" si="11" ref="P20:P58">P19</f>
        <v>6993954</v>
      </c>
      <c r="Q20" s="1">
        <f t="shared" si="7"/>
        <v>6116473.479200982</v>
      </c>
      <c r="S20" s="1">
        <v>983000</v>
      </c>
      <c r="T20" s="1">
        <f aca="true" t="shared" si="12" ref="T20:T68">+S20*N20</f>
        <v>859670.1422477993</v>
      </c>
      <c r="U20">
        <f>U19+1</f>
        <v>2</v>
      </c>
      <c r="V20" s="30">
        <f aca="true" t="shared" si="13" ref="V20:V68">+S20-M20</f>
        <v>22957.487092400086</v>
      </c>
      <c r="W20" s="30">
        <f aca="true" t="shared" si="14" ref="W20:W68">+T20-O20</f>
        <v>20077.178224186762</v>
      </c>
    </row>
    <row r="21" spans="1:23" ht="12.75">
      <c r="A21">
        <f t="shared" si="8"/>
        <v>3</v>
      </c>
      <c r="B21" s="1">
        <f t="shared" si="9"/>
        <v>7042798.250987211</v>
      </c>
      <c r="C21" s="1">
        <f t="shared" si="10"/>
        <v>6748251.569823962</v>
      </c>
      <c r="D21" s="1">
        <f t="shared" si="0"/>
        <v>6895524.9104055865</v>
      </c>
      <c r="E21" s="1">
        <f>D21*SUM('Cost of Capital'!E$17:E$17)</f>
        <v>224104.55958818158</v>
      </c>
      <c r="F21" s="1">
        <f>D21*'Cost of Capital'!E$16</f>
        <v>344776.24552027934</v>
      </c>
      <c r="G21" s="1">
        <f>B$19*0.0668</f>
        <v>504919.372432</v>
      </c>
      <c r="H21" s="1">
        <f t="shared" si="1"/>
        <v>151173.46480000002</v>
      </c>
      <c r="I21" s="2">
        <f t="shared" si="2"/>
        <v>143373.21636324958</v>
      </c>
      <c r="J21" s="1">
        <f t="shared" si="3"/>
        <v>226002.27720115843</v>
      </c>
      <c r="K21" s="1">
        <f t="shared" si="4"/>
        <v>91598.7229496295</v>
      </c>
      <c r="L21" s="1">
        <f>(B$19-SUM(H$19:H20))*E$11</f>
        <v>126985.710432</v>
      </c>
      <c r="M21" s="1">
        <f t="shared" si="5"/>
        <v>938638.7032900905</v>
      </c>
      <c r="N21">
        <f>N20*(1/(1+'Cost of Capital'!E$21))</f>
        <v>0.8178383811125804</v>
      </c>
      <c r="O21" s="2">
        <f t="shared" si="6"/>
        <v>767654.7575483794</v>
      </c>
      <c r="P21" s="1">
        <f t="shared" si="11"/>
        <v>6993954</v>
      </c>
      <c r="Q21" s="1">
        <f t="shared" si="7"/>
        <v>5719924.016935856</v>
      </c>
      <c r="S21" s="1">
        <v>995000</v>
      </c>
      <c r="T21" s="1">
        <f t="shared" si="12"/>
        <v>813749.1892070175</v>
      </c>
      <c r="U21">
        <f aca="true" t="shared" si="15" ref="U21:U68">U20+1</f>
        <v>3</v>
      </c>
      <c r="V21" s="30">
        <f t="shared" si="13"/>
        <v>56361.29670990945</v>
      </c>
      <c r="W21" s="30">
        <f t="shared" si="14"/>
        <v>46094.431658638176</v>
      </c>
    </row>
    <row r="22" spans="1:23" ht="12.75">
      <c r="A22">
        <f t="shared" si="8"/>
        <v>4</v>
      </c>
      <c r="B22" s="1">
        <f t="shared" si="9"/>
        <v>6748251.569823962</v>
      </c>
      <c r="C22" s="1">
        <f t="shared" si="10"/>
        <v>6469022.539981572</v>
      </c>
      <c r="D22" s="1">
        <f t="shared" si="0"/>
        <v>6608637.054902767</v>
      </c>
      <c r="E22" s="1">
        <f>D22*SUM('Cost of Capital'!E$17:E$17)</f>
        <v>214780.70428433994</v>
      </c>
      <c r="F22" s="1">
        <f>D22*'Cost of Capital'!E$16</f>
        <v>330431.85274513834</v>
      </c>
      <c r="G22" s="1">
        <f>B$19*0.0618</f>
        <v>467126.006232</v>
      </c>
      <c r="H22" s="1">
        <f t="shared" si="1"/>
        <v>151173.46480000002</v>
      </c>
      <c r="I22" s="2">
        <f t="shared" si="2"/>
        <v>128055.5650423896</v>
      </c>
      <c r="J22" s="1">
        <f t="shared" si="3"/>
        <v>239675.25871116185</v>
      </c>
      <c r="K22" s="1">
        <f t="shared" si="4"/>
        <v>97140.38235563389</v>
      </c>
      <c r="L22" s="1">
        <f>(B$19-SUM(H$19:H21))*E$11</f>
        <v>124340.17479800002</v>
      </c>
      <c r="M22" s="1">
        <f t="shared" si="5"/>
        <v>917866.5789831121</v>
      </c>
      <c r="N22">
        <f>N21*(1/(1+'Cost of Capital'!E$21))</f>
        <v>0.7648154470063836</v>
      </c>
      <c r="O22" s="2">
        <f t="shared" si="6"/>
        <v>701998.537897189</v>
      </c>
      <c r="P22" s="1">
        <f t="shared" si="11"/>
        <v>6993954</v>
      </c>
      <c r="Q22" s="1">
        <f t="shared" si="7"/>
        <v>5349084.054852084</v>
      </c>
      <c r="S22" s="1">
        <v>1006000</v>
      </c>
      <c r="T22" s="1">
        <f t="shared" si="12"/>
        <v>769404.3396884219</v>
      </c>
      <c r="U22">
        <f t="shared" si="15"/>
        <v>4</v>
      </c>
      <c r="V22" s="30">
        <f t="shared" si="13"/>
        <v>88133.42101688788</v>
      </c>
      <c r="W22" s="30">
        <f t="shared" si="14"/>
        <v>67405.8017912329</v>
      </c>
    </row>
    <row r="23" spans="1:23" ht="12.75">
      <c r="A23">
        <f t="shared" si="8"/>
        <v>5</v>
      </c>
      <c r="B23" s="1">
        <f t="shared" si="9"/>
        <v>6469022.539981572</v>
      </c>
      <c r="C23" s="1">
        <f t="shared" si="10"/>
        <v>6204192.102380791</v>
      </c>
      <c r="D23" s="1">
        <f t="shared" si="0"/>
        <v>6336607.321181182</v>
      </c>
      <c r="E23" s="1">
        <f>D23*SUM('Cost of Capital'!E$17:E$17)</f>
        <v>205939.73793838843</v>
      </c>
      <c r="F23" s="1">
        <f>D23*'Cost of Capital'!E$16</f>
        <v>316830.3660590591</v>
      </c>
      <c r="G23" s="1">
        <f>B$19*0.0571</f>
        <v>431600.242004</v>
      </c>
      <c r="H23" s="1">
        <f t="shared" si="1"/>
        <v>151173.46480000002</v>
      </c>
      <c r="I23" s="2">
        <f t="shared" si="2"/>
        <v>113656.9728007812</v>
      </c>
      <c r="J23" s="1">
        <f t="shared" si="3"/>
        <v>252329.84976600017</v>
      </c>
      <c r="K23" s="1">
        <f t="shared" si="4"/>
        <v>102269.28811015988</v>
      </c>
      <c r="L23" s="1">
        <f>(B$19-SUM(H$19:H22))*E$11</f>
        <v>121694.63916400002</v>
      </c>
      <c r="M23" s="1">
        <f t="shared" si="5"/>
        <v>897907.4960716075</v>
      </c>
      <c r="N23">
        <f>N22*(1/(1+'Cost of Capital'!E$21))</f>
        <v>0.71523014997636</v>
      </c>
      <c r="O23" s="2">
        <f t="shared" si="6"/>
        <v>642210.5130801937</v>
      </c>
      <c r="P23" s="1">
        <f t="shared" si="11"/>
        <v>6993954</v>
      </c>
      <c r="Q23" s="1">
        <f t="shared" si="7"/>
        <v>5002286.768347763</v>
      </c>
      <c r="S23" s="1">
        <v>1022000</v>
      </c>
      <c r="T23" s="1">
        <f t="shared" si="12"/>
        <v>730965.2132758399</v>
      </c>
      <c r="U23">
        <f t="shared" si="15"/>
        <v>5</v>
      </c>
      <c r="V23" s="30">
        <f t="shared" si="13"/>
        <v>124092.50392839254</v>
      </c>
      <c r="W23" s="30">
        <f t="shared" si="14"/>
        <v>88754.70019564626</v>
      </c>
    </row>
    <row r="24" spans="1:23" ht="12.75">
      <c r="A24">
        <f t="shared" si="8"/>
        <v>6</v>
      </c>
      <c r="B24" s="1">
        <f t="shared" si="9"/>
        <v>6204192.102380791</v>
      </c>
      <c r="C24" s="1">
        <f t="shared" si="10"/>
        <v>5952534.844915949</v>
      </c>
      <c r="D24" s="1">
        <f t="shared" si="0"/>
        <v>6078363.473648369</v>
      </c>
      <c r="E24" s="1">
        <f>D24*SUM('Cost of Capital'!E$17:E$17)</f>
        <v>197546.812893572</v>
      </c>
      <c r="F24" s="1">
        <f>D24*'Cost of Capital'!E$16</f>
        <v>303918.1736824185</v>
      </c>
      <c r="G24" s="1">
        <f>B$19*0.0528</f>
        <v>399097.947072</v>
      </c>
      <c r="H24" s="1">
        <f t="shared" si="1"/>
        <v>151173.46480000002</v>
      </c>
      <c r="I24" s="2">
        <f t="shared" si="2"/>
        <v>100483.79266484159</v>
      </c>
      <c r="J24" s="1">
        <f t="shared" si="3"/>
        <v>263120.0337569532</v>
      </c>
      <c r="K24" s="1">
        <f t="shared" si="4"/>
        <v>106642.54968169313</v>
      </c>
      <c r="L24" s="1">
        <f>(B$19-SUM(H$19:H23))*E$11</f>
        <v>119049.10353000001</v>
      </c>
      <c r="M24" s="1">
        <f t="shared" si="5"/>
        <v>878330.1045876835</v>
      </c>
      <c r="N24">
        <f>N23*(1/(1+'Cost of Capital'!E$21))</f>
        <v>0.6688596176208464</v>
      </c>
      <c r="O24" s="2">
        <f t="shared" si="6"/>
        <v>587479.537899396</v>
      </c>
      <c r="P24" s="1">
        <f t="shared" si="11"/>
        <v>6993954</v>
      </c>
      <c r="Q24" s="1">
        <f t="shared" si="7"/>
        <v>4677973.39809779</v>
      </c>
      <c r="S24" s="1">
        <v>1045000</v>
      </c>
      <c r="T24" s="1">
        <f t="shared" si="12"/>
        <v>698958.3004137846</v>
      </c>
      <c r="U24">
        <f t="shared" si="15"/>
        <v>6</v>
      </c>
      <c r="V24" s="30">
        <f t="shared" si="13"/>
        <v>166669.89541231655</v>
      </c>
      <c r="W24" s="30">
        <f t="shared" si="14"/>
        <v>111478.76251438854</v>
      </c>
    </row>
    <row r="25" spans="1:23" ht="12.75">
      <c r="A25">
        <f t="shared" si="8"/>
        <v>7</v>
      </c>
      <c r="B25" s="1">
        <f t="shared" si="9"/>
        <v>5952534.844915949</v>
      </c>
      <c r="C25" s="1">
        <f t="shared" si="10"/>
        <v>5712825.355481378</v>
      </c>
      <c r="D25" s="1">
        <f t="shared" si="0"/>
        <v>5832680.100198664</v>
      </c>
      <c r="E25" s="1">
        <f>D25*SUM('Cost of Capital'!E$17:E$17)</f>
        <v>189562.10325645658</v>
      </c>
      <c r="F25" s="1">
        <f>D25*'Cost of Capital'!E$16</f>
        <v>291634.0050099332</v>
      </c>
      <c r="G25" s="1">
        <f>B$19*0.0489</f>
        <v>369619.121436</v>
      </c>
      <c r="H25" s="1">
        <f t="shared" si="1"/>
        <v>151173.46480000002</v>
      </c>
      <c r="I25" s="2">
        <f t="shared" si="2"/>
        <v>88536.02463457079</v>
      </c>
      <c r="J25" s="1">
        <f t="shared" si="3"/>
        <v>271942.7829300555</v>
      </c>
      <c r="K25" s="1">
        <f t="shared" si="4"/>
        <v>110218.4099215515</v>
      </c>
      <c r="L25" s="1">
        <f>(B$19-SUM(H$19:H24))*E$11</f>
        <v>116403.56789600001</v>
      </c>
      <c r="M25" s="1">
        <f t="shared" si="5"/>
        <v>858991.5508839414</v>
      </c>
      <c r="N25">
        <f>N24*(1/(1+'Cost of Capital'!E$21))</f>
        <v>0.6254954270295954</v>
      </c>
      <c r="O25" s="2">
        <f t="shared" si="6"/>
        <v>537295.2869349653</v>
      </c>
      <c r="P25" s="1">
        <f t="shared" si="11"/>
        <v>6993954</v>
      </c>
      <c r="Q25" s="1">
        <f t="shared" si="7"/>
        <v>4374686.243855347</v>
      </c>
      <c r="S25" s="1">
        <v>1107000</v>
      </c>
      <c r="T25" s="1">
        <f t="shared" si="12"/>
        <v>692423.4377217621</v>
      </c>
      <c r="U25">
        <f t="shared" si="15"/>
        <v>7</v>
      </c>
      <c r="V25" s="30">
        <f t="shared" si="13"/>
        <v>248008.44911605865</v>
      </c>
      <c r="W25" s="30">
        <f t="shared" si="14"/>
        <v>155128.15078679682</v>
      </c>
    </row>
    <row r="26" spans="1:23" ht="12.75">
      <c r="A26">
        <f t="shared" si="8"/>
        <v>8</v>
      </c>
      <c r="B26" s="1">
        <f t="shared" si="9"/>
        <v>5712825.355481378</v>
      </c>
      <c r="C26" s="1">
        <f t="shared" si="10"/>
        <v>5484450.928024244</v>
      </c>
      <c r="D26" s="1">
        <f t="shared" si="0"/>
        <v>5598638.141752811</v>
      </c>
      <c r="E26" s="1">
        <f>D26*SUM('Cost of Capital'!E$17:E$17)</f>
        <v>181955.73960696638</v>
      </c>
      <c r="F26" s="1">
        <f>D26*'Cost of Capital'!E$16</f>
        <v>279931.90708764055</v>
      </c>
      <c r="G26" s="1">
        <f>B$19*0.0452</f>
        <v>341652.030448</v>
      </c>
      <c r="H26" s="1">
        <f t="shared" si="1"/>
        <v>151173.46480000002</v>
      </c>
      <c r="I26" s="2">
        <f t="shared" si="2"/>
        <v>77200.9626571344</v>
      </c>
      <c r="J26" s="1">
        <f t="shared" si="3"/>
        <v>280232.56111783243</v>
      </c>
      <c r="K26" s="1">
        <f t="shared" si="4"/>
        <v>113578.25702105748</v>
      </c>
      <c r="L26" s="1">
        <f>(B$19-SUM(H$19:H25))*E$11</f>
        <v>113758.03226200002</v>
      </c>
      <c r="M26" s="1">
        <f t="shared" si="5"/>
        <v>840397.4007776645</v>
      </c>
      <c r="N26">
        <f>N25*(1/(1+'Cost of Capital'!E$21))</f>
        <v>0.5849426679795744</v>
      </c>
      <c r="O26" s="2">
        <f t="shared" si="6"/>
        <v>491584.2977739867</v>
      </c>
      <c r="P26" s="1">
        <f t="shared" si="11"/>
        <v>6993954</v>
      </c>
      <c r="Q26" s="1">
        <f t="shared" si="7"/>
        <v>4091062.1124864165</v>
      </c>
      <c r="S26" s="1">
        <v>1169000</v>
      </c>
      <c r="T26" s="1">
        <f t="shared" si="12"/>
        <v>683797.9788681224</v>
      </c>
      <c r="U26">
        <f t="shared" si="15"/>
        <v>8</v>
      </c>
      <c r="V26" s="30">
        <f t="shared" si="13"/>
        <v>328602.5992223355</v>
      </c>
      <c r="W26" s="30">
        <f t="shared" si="14"/>
        <v>192213.68109413574</v>
      </c>
    </row>
    <row r="27" spans="1:23" ht="12.75">
      <c r="A27">
        <f t="shared" si="8"/>
        <v>9</v>
      </c>
      <c r="B27" s="1">
        <f t="shared" si="9"/>
        <v>5484450.928024244</v>
      </c>
      <c r="C27" s="1">
        <f t="shared" si="10"/>
        <v>5257914.618725612</v>
      </c>
      <c r="D27" s="1">
        <f t="shared" si="0"/>
        <v>5371182.773374928</v>
      </c>
      <c r="E27" s="1">
        <f>D27*SUM('Cost of Capital'!E$17:E$17)</f>
        <v>174563.44013468517</v>
      </c>
      <c r="F27" s="1">
        <f>D27*'Cost of Capital'!E$16</f>
        <v>268559.1386687464</v>
      </c>
      <c r="G27" s="1">
        <f aca="true" t="shared" si="16" ref="G27:G38">B$19*0.0446</f>
        <v>337116.826504</v>
      </c>
      <c r="H27" s="1">
        <f t="shared" si="1"/>
        <v>151173.46480000002</v>
      </c>
      <c r="I27" s="2">
        <f t="shared" si="2"/>
        <v>75362.8444986312</v>
      </c>
      <c r="J27" s="1">
        <f t="shared" si="3"/>
        <v>265644.22643917537</v>
      </c>
      <c r="K27" s="1">
        <f t="shared" si="4"/>
        <v>107665.60497579777</v>
      </c>
      <c r="L27" s="1">
        <f>(B$19-SUM(H$19:H26))*E$11</f>
        <v>111112.49662800002</v>
      </c>
      <c r="M27" s="1">
        <f t="shared" si="5"/>
        <v>813074.1452072295</v>
      </c>
      <c r="N27">
        <f>N26*(1/(1+'Cost of Capital'!E$21))</f>
        <v>0.5470190668666126</v>
      </c>
      <c r="O27" s="2">
        <f t="shared" si="6"/>
        <v>444767.0602046274</v>
      </c>
      <c r="P27" s="1">
        <f t="shared" si="11"/>
        <v>6993954</v>
      </c>
      <c r="Q27" s="1">
        <f t="shared" si="7"/>
        <v>3825826.190788013</v>
      </c>
      <c r="S27" s="1">
        <v>1215000</v>
      </c>
      <c r="T27" s="1">
        <f t="shared" si="12"/>
        <v>664628.1662429343</v>
      </c>
      <c r="U27">
        <f t="shared" si="15"/>
        <v>9</v>
      </c>
      <c r="V27" s="30">
        <f t="shared" si="13"/>
        <v>401925.85479277046</v>
      </c>
      <c r="W27" s="30">
        <f t="shared" si="14"/>
        <v>219861.1060383069</v>
      </c>
    </row>
    <row r="28" spans="1:23" ht="12.75">
      <c r="A28">
        <f t="shared" si="8"/>
        <v>10</v>
      </c>
      <c r="B28" s="1">
        <f t="shared" si="9"/>
        <v>5257914.618725612</v>
      </c>
      <c r="C28" s="1">
        <f t="shared" si="10"/>
        <v>5031378.30942698</v>
      </c>
      <c r="D28" s="1">
        <f t="shared" si="0"/>
        <v>5144646.4640762955</v>
      </c>
      <c r="E28" s="1">
        <f>D28*SUM('Cost of Capital'!E$17:E$17)</f>
        <v>167201.0100824796</v>
      </c>
      <c r="F28" s="1">
        <f>D28*'Cost of Capital'!E$16</f>
        <v>257232.3232038148</v>
      </c>
      <c r="G28" s="1">
        <f t="shared" si="16"/>
        <v>337116.826504</v>
      </c>
      <c r="H28" s="1">
        <f t="shared" si="1"/>
        <v>151173.46480000002</v>
      </c>
      <c r="I28" s="2">
        <f t="shared" si="2"/>
        <v>75362.8444986312</v>
      </c>
      <c r="J28" s="1">
        <f t="shared" si="3"/>
        <v>246597.95863199263</v>
      </c>
      <c r="K28" s="1">
        <f t="shared" si="4"/>
        <v>99946.15263354662</v>
      </c>
      <c r="L28" s="1">
        <f>(B$19-SUM(H$19:H27))*E$11</f>
        <v>108466.96099400002</v>
      </c>
      <c r="M28" s="1">
        <f t="shared" si="5"/>
        <v>784019.9117138411</v>
      </c>
      <c r="N28">
        <f>N27*(1/(1+'Cost of Capital'!E$21))</f>
        <v>0.5115541674352064</v>
      </c>
      <c r="O28" s="2">
        <f t="shared" si="6"/>
        <v>401068.65318939806</v>
      </c>
      <c r="P28" s="1">
        <f t="shared" si="11"/>
        <v>6993954</v>
      </c>
      <c r="Q28" s="1">
        <f t="shared" si="7"/>
        <v>3577786.3155501317</v>
      </c>
      <c r="S28" s="1">
        <v>1215000</v>
      </c>
      <c r="T28" s="1">
        <f t="shared" si="12"/>
        <v>621538.3134337758</v>
      </c>
      <c r="U28">
        <f t="shared" si="15"/>
        <v>10</v>
      </c>
      <c r="V28" s="30">
        <f t="shared" si="13"/>
        <v>430980.08828615886</v>
      </c>
      <c r="W28" s="30">
        <f t="shared" si="14"/>
        <v>220469.66024437774</v>
      </c>
    </row>
    <row r="29" spans="1:23" ht="12.75">
      <c r="A29">
        <f t="shared" si="8"/>
        <v>11</v>
      </c>
      <c r="B29" s="1">
        <f t="shared" si="9"/>
        <v>5031378.30942698</v>
      </c>
      <c r="C29" s="1">
        <f t="shared" si="10"/>
        <v>4804842.000128348</v>
      </c>
      <c r="D29" s="1">
        <f t="shared" si="0"/>
        <v>4918110.154777665</v>
      </c>
      <c r="E29" s="1">
        <f>D29*SUM('Cost of Capital'!E$17:E$17)</f>
        <v>159838.5800302741</v>
      </c>
      <c r="F29" s="1">
        <f>D29*'Cost of Capital'!E$16</f>
        <v>245905.50773888326</v>
      </c>
      <c r="G29" s="1">
        <f t="shared" si="16"/>
        <v>337116.826504</v>
      </c>
      <c r="H29" s="1">
        <f t="shared" si="1"/>
        <v>151173.46480000002</v>
      </c>
      <c r="I29" s="2">
        <f t="shared" si="2"/>
        <v>75362.8444986312</v>
      </c>
      <c r="J29" s="1">
        <f t="shared" si="3"/>
        <v>227551.69082480995</v>
      </c>
      <c r="K29" s="1">
        <f t="shared" si="4"/>
        <v>92226.70029129548</v>
      </c>
      <c r="L29" s="1">
        <f>(B$19-SUM(H$19:H28))*E$11</f>
        <v>105821.42536000001</v>
      </c>
      <c r="M29" s="1">
        <f t="shared" si="5"/>
        <v>754965.678220453</v>
      </c>
      <c r="N29">
        <f>N28*(1/(1+'Cost of Capital'!E$21))</f>
        <v>0.47838856462408874</v>
      </c>
      <c r="O29" s="2">
        <f t="shared" si="6"/>
        <v>361166.94714433415</v>
      </c>
      <c r="P29" s="1">
        <f t="shared" si="11"/>
        <v>6993954</v>
      </c>
      <c r="Q29" s="1">
        <f t="shared" si="7"/>
        <v>3345827.615106904</v>
      </c>
      <c r="S29" s="1">
        <v>1215000</v>
      </c>
      <c r="T29" s="1">
        <f t="shared" si="12"/>
        <v>581242.1060182678</v>
      </c>
      <c r="U29">
        <f t="shared" si="15"/>
        <v>11</v>
      </c>
      <c r="V29" s="30">
        <f t="shared" si="13"/>
        <v>460034.321779547</v>
      </c>
      <c r="W29" s="30">
        <f t="shared" si="14"/>
        <v>220075.15887393366</v>
      </c>
    </row>
    <row r="30" spans="1:23" ht="12.75">
      <c r="A30">
        <f t="shared" si="8"/>
        <v>12</v>
      </c>
      <c r="B30" s="1">
        <f t="shared" si="9"/>
        <v>4804842.000128348</v>
      </c>
      <c r="C30" s="1">
        <f t="shared" si="10"/>
        <v>4578305.690829717</v>
      </c>
      <c r="D30" s="1">
        <f t="shared" si="0"/>
        <v>4691573.845479032</v>
      </c>
      <c r="E30" s="1">
        <f>D30*SUM('Cost of Capital'!E$17:E$17)</f>
        <v>152476.14997806854</v>
      </c>
      <c r="F30" s="1">
        <f>D30*'Cost of Capital'!E$16</f>
        <v>234578.6922739516</v>
      </c>
      <c r="G30" s="1">
        <f t="shared" si="16"/>
        <v>337116.826504</v>
      </c>
      <c r="H30" s="1">
        <f t="shared" si="1"/>
        <v>151173.46480000002</v>
      </c>
      <c r="I30" s="2">
        <f t="shared" si="2"/>
        <v>75362.8444986312</v>
      </c>
      <c r="J30" s="1">
        <f t="shared" si="3"/>
        <v>208505.42301762706</v>
      </c>
      <c r="K30" s="1">
        <f t="shared" si="4"/>
        <v>84507.24794904425</v>
      </c>
      <c r="L30" s="1">
        <f>(B$19-SUM(H$19:H29))*E$11</f>
        <v>103175.88972600001</v>
      </c>
      <c r="M30" s="1">
        <f t="shared" si="5"/>
        <v>725911.4447270645</v>
      </c>
      <c r="N30">
        <f>N29*(1/(1+'Cost of Capital'!E$21))</f>
        <v>0.4473731880839048</v>
      </c>
      <c r="O30" s="2">
        <f t="shared" si="6"/>
        <v>324753.31729414006</v>
      </c>
      <c r="P30" s="1">
        <f t="shared" si="11"/>
        <v>6993954</v>
      </c>
      <c r="Q30" s="1">
        <f t="shared" si="7"/>
        <v>3128907.4982921784</v>
      </c>
      <c r="S30" s="1">
        <v>1215000</v>
      </c>
      <c r="T30" s="1">
        <f t="shared" si="12"/>
        <v>543558.4235219443</v>
      </c>
      <c r="U30">
        <f t="shared" si="15"/>
        <v>12</v>
      </c>
      <c r="V30" s="30">
        <f t="shared" si="13"/>
        <v>489088.55527293554</v>
      </c>
      <c r="W30" s="30">
        <f t="shared" si="14"/>
        <v>218805.10622780427</v>
      </c>
    </row>
    <row r="31" spans="1:23" ht="12.75">
      <c r="A31">
        <f t="shared" si="8"/>
        <v>13</v>
      </c>
      <c r="B31" s="1">
        <f t="shared" si="9"/>
        <v>4578305.690829717</v>
      </c>
      <c r="C31" s="1">
        <f t="shared" si="10"/>
        <v>4351769.381531085</v>
      </c>
      <c r="D31" s="1">
        <f t="shared" si="0"/>
        <v>4465037.536180401</v>
      </c>
      <c r="E31" s="1">
        <f>D31*SUM('Cost of Capital'!E$17:E$17)</f>
        <v>145113.71992586306</v>
      </c>
      <c r="F31" s="1">
        <f>D31*'Cost of Capital'!E$16</f>
        <v>223251.87680902006</v>
      </c>
      <c r="G31" s="1">
        <f t="shared" si="16"/>
        <v>337116.826504</v>
      </c>
      <c r="H31" s="1">
        <f t="shared" si="1"/>
        <v>151173.46480000002</v>
      </c>
      <c r="I31" s="2">
        <f t="shared" si="2"/>
        <v>75362.8444986312</v>
      </c>
      <c r="J31" s="1">
        <f t="shared" si="3"/>
        <v>189459.15521044438</v>
      </c>
      <c r="K31" s="1">
        <f t="shared" si="4"/>
        <v>76787.79560679311</v>
      </c>
      <c r="L31" s="1">
        <f>(B$19-SUM(H$19:H30))*E$11</f>
        <v>100530.35409200002</v>
      </c>
      <c r="M31" s="1">
        <f t="shared" si="5"/>
        <v>696857.2112336763</v>
      </c>
      <c r="N31">
        <f>N30*(1/(1+'Cost of Capital'!E$21))</f>
        <v>0.41836863214660314</v>
      </c>
      <c r="O31" s="2">
        <f t="shared" si="6"/>
        <v>291543.19826532964</v>
      </c>
      <c r="P31" s="1">
        <f t="shared" si="11"/>
        <v>6993954</v>
      </c>
      <c r="Q31" s="1">
        <f t="shared" si="7"/>
        <v>2926050.9682762637</v>
      </c>
      <c r="S31" s="1">
        <v>1215000</v>
      </c>
      <c r="T31" s="1">
        <f t="shared" si="12"/>
        <v>508317.88805812283</v>
      </c>
      <c r="U31">
        <f t="shared" si="15"/>
        <v>13</v>
      </c>
      <c r="V31" s="30">
        <f t="shared" si="13"/>
        <v>518142.7887663237</v>
      </c>
      <c r="W31" s="30">
        <f t="shared" si="14"/>
        <v>216774.6897927932</v>
      </c>
    </row>
    <row r="32" spans="1:23" ht="12.75">
      <c r="A32">
        <f t="shared" si="8"/>
        <v>14</v>
      </c>
      <c r="B32" s="1">
        <f t="shared" si="9"/>
        <v>4351769.381531085</v>
      </c>
      <c r="C32" s="1">
        <f t="shared" si="10"/>
        <v>4125233.0722324536</v>
      </c>
      <c r="D32" s="1">
        <f t="shared" si="0"/>
        <v>4238501.2268817695</v>
      </c>
      <c r="E32" s="1">
        <f>D32*SUM('Cost of Capital'!E$17:E$17)</f>
        <v>137751.28987365752</v>
      </c>
      <c r="F32" s="1">
        <f>D32*'Cost of Capital'!E$16</f>
        <v>211925.0613440885</v>
      </c>
      <c r="G32" s="1">
        <f t="shared" si="16"/>
        <v>337116.826504</v>
      </c>
      <c r="H32" s="1">
        <f t="shared" si="1"/>
        <v>151173.46480000002</v>
      </c>
      <c r="I32" s="2">
        <f t="shared" si="2"/>
        <v>75362.8444986312</v>
      </c>
      <c r="J32" s="1">
        <f t="shared" si="3"/>
        <v>170412.88740326161</v>
      </c>
      <c r="K32" s="1">
        <f t="shared" si="4"/>
        <v>69068.34326454194</v>
      </c>
      <c r="L32" s="1">
        <f>(B$19-SUM(H$19:H31))*E$11</f>
        <v>97884.81845800002</v>
      </c>
      <c r="M32" s="1">
        <f t="shared" si="5"/>
        <v>667802.977740288</v>
      </c>
      <c r="N32">
        <f>N31*(1/(1+'Cost of Capital'!E$21))</f>
        <v>0.3912445292349358</v>
      </c>
      <c r="O32" s="2">
        <f t="shared" si="6"/>
        <v>261274.2616476873</v>
      </c>
      <c r="P32" s="1">
        <f t="shared" si="11"/>
        <v>6993954</v>
      </c>
      <c r="Q32" s="1">
        <f t="shared" si="7"/>
        <v>2736346.2402207963</v>
      </c>
      <c r="S32" s="1">
        <v>1215000</v>
      </c>
      <c r="T32" s="1">
        <f t="shared" si="12"/>
        <v>475362.103020447</v>
      </c>
      <c r="U32">
        <f t="shared" si="15"/>
        <v>14</v>
      </c>
      <c r="V32" s="30">
        <f t="shared" si="13"/>
        <v>547197.022259712</v>
      </c>
      <c r="W32" s="30">
        <f t="shared" si="14"/>
        <v>214087.84137275972</v>
      </c>
    </row>
    <row r="33" spans="1:23" ht="12.75">
      <c r="A33">
        <f t="shared" si="8"/>
        <v>15</v>
      </c>
      <c r="B33" s="1">
        <f t="shared" si="9"/>
        <v>4125233.0722324536</v>
      </c>
      <c r="C33" s="1">
        <f t="shared" si="10"/>
        <v>3898696.7629338223</v>
      </c>
      <c r="D33" s="1">
        <f t="shared" si="0"/>
        <v>4011964.9175831378</v>
      </c>
      <c r="E33" s="1">
        <f>D33*SUM('Cost of Capital'!E$17:E$17)</f>
        <v>130388.85982145199</v>
      </c>
      <c r="F33" s="1">
        <f>D33*'Cost of Capital'!E$16</f>
        <v>200598.2458791569</v>
      </c>
      <c r="G33" s="1">
        <f t="shared" si="16"/>
        <v>337116.826504</v>
      </c>
      <c r="H33" s="1">
        <f t="shared" si="1"/>
        <v>151173.46480000002</v>
      </c>
      <c r="I33" s="2">
        <f t="shared" si="2"/>
        <v>75362.8444986312</v>
      </c>
      <c r="J33" s="1">
        <f t="shared" si="3"/>
        <v>151366.61959607893</v>
      </c>
      <c r="K33" s="1">
        <f t="shared" si="4"/>
        <v>61348.89092229079</v>
      </c>
      <c r="L33" s="1">
        <f>(B$19-SUM(H$19:H32))*E$11</f>
        <v>95239.28282400001</v>
      </c>
      <c r="M33" s="1">
        <f t="shared" si="5"/>
        <v>638748.7442468996</v>
      </c>
      <c r="N33">
        <f>N32*(1/(1+'Cost of Capital'!E$21))</f>
        <v>0.36587896389571467</v>
      </c>
      <c r="O33" s="2">
        <f t="shared" si="6"/>
        <v>233704.72873474448</v>
      </c>
      <c r="P33" s="1">
        <f t="shared" si="11"/>
        <v>6993954</v>
      </c>
      <c r="Q33" s="1">
        <f t="shared" si="7"/>
        <v>2558940.6430542893</v>
      </c>
      <c r="S33" s="1">
        <v>1215000</v>
      </c>
      <c r="T33" s="1">
        <f t="shared" si="12"/>
        <v>444542.9411332933</v>
      </c>
      <c r="U33">
        <f t="shared" si="15"/>
        <v>15</v>
      </c>
      <c r="V33" s="30">
        <f t="shared" si="13"/>
        <v>576251.2557531004</v>
      </c>
      <c r="W33" s="30">
        <f t="shared" si="14"/>
        <v>210838.21239854884</v>
      </c>
    </row>
    <row r="34" spans="1:23" ht="12.75">
      <c r="A34">
        <f t="shared" si="8"/>
        <v>16</v>
      </c>
      <c r="B34" s="1">
        <f t="shared" si="9"/>
        <v>3898696.7629338223</v>
      </c>
      <c r="C34" s="1">
        <f t="shared" si="10"/>
        <v>3672160.453635191</v>
      </c>
      <c r="D34" s="1">
        <f t="shared" si="0"/>
        <v>3785428.608284507</v>
      </c>
      <c r="E34" s="1">
        <f>D34*SUM('Cost of Capital'!E$17:E$17)</f>
        <v>123026.42976924648</v>
      </c>
      <c r="F34" s="1">
        <f>D34*'Cost of Capital'!E$16</f>
        <v>189271.43041422535</v>
      </c>
      <c r="G34" s="1">
        <f t="shared" si="16"/>
        <v>337116.826504</v>
      </c>
      <c r="H34" s="1">
        <f t="shared" si="1"/>
        <v>151173.46480000002</v>
      </c>
      <c r="I34" s="2">
        <f t="shared" si="2"/>
        <v>75362.8444986312</v>
      </c>
      <c r="J34" s="1">
        <f t="shared" si="3"/>
        <v>132320.35178889625</v>
      </c>
      <c r="K34" s="1">
        <f t="shared" si="4"/>
        <v>53629.43858003965</v>
      </c>
      <c r="L34" s="1">
        <f>(B$19-SUM(H$19:H33))*E$11</f>
        <v>92593.74719000001</v>
      </c>
      <c r="M34" s="1">
        <f t="shared" si="5"/>
        <v>609694.5107535115</v>
      </c>
      <c r="N34">
        <f>N33*(1/(1+'Cost of Capital'!E$21))</f>
        <v>0.3421579248230626</v>
      </c>
      <c r="O34" s="2">
        <f t="shared" si="6"/>
        <v>208611.8085754339</v>
      </c>
      <c r="P34" s="1">
        <f t="shared" si="11"/>
        <v>6993954</v>
      </c>
      <c r="Q34" s="1">
        <f t="shared" si="7"/>
        <v>2393036.786947958</v>
      </c>
      <c r="S34" s="1">
        <v>248000</v>
      </c>
      <c r="T34" s="1">
        <f t="shared" si="12"/>
        <v>84855.16535611953</v>
      </c>
      <c r="U34">
        <f t="shared" si="15"/>
        <v>16</v>
      </c>
      <c r="V34" s="30">
        <f t="shared" si="13"/>
        <v>-361694.51075351145</v>
      </c>
      <c r="W34" s="30">
        <f t="shared" si="14"/>
        <v>-123756.64321931438</v>
      </c>
    </row>
    <row r="35" spans="1:23" ht="12.75">
      <c r="A35">
        <f t="shared" si="8"/>
        <v>17</v>
      </c>
      <c r="B35" s="1">
        <f t="shared" si="9"/>
        <v>3672160.453635191</v>
      </c>
      <c r="C35" s="1">
        <f t="shared" si="10"/>
        <v>3445624.14433656</v>
      </c>
      <c r="D35" s="1">
        <f t="shared" si="0"/>
        <v>3558892.298985875</v>
      </c>
      <c r="E35" s="1">
        <f>D35*SUM('Cost of Capital'!E$17:E$17)</f>
        <v>115663.99971704095</v>
      </c>
      <c r="F35" s="1">
        <f>D35*'Cost of Capital'!E$16</f>
        <v>177944.61494929378</v>
      </c>
      <c r="G35" s="1">
        <f t="shared" si="16"/>
        <v>337116.826504</v>
      </c>
      <c r="H35" s="1">
        <f t="shared" si="1"/>
        <v>151173.46480000002</v>
      </c>
      <c r="I35" s="2">
        <f t="shared" si="2"/>
        <v>75362.8444986312</v>
      </c>
      <c r="J35" s="1">
        <f t="shared" si="3"/>
        <v>113274.08398171347</v>
      </c>
      <c r="K35" s="1">
        <f t="shared" si="4"/>
        <v>45909.98623778847</v>
      </c>
      <c r="L35" s="1">
        <f>(B$19-SUM(H$19:H34))*E$11</f>
        <v>89948.21155600001</v>
      </c>
      <c r="M35" s="1">
        <f t="shared" si="5"/>
        <v>580640.2772601232</v>
      </c>
      <c r="N35">
        <f>N34*(1/(1+'Cost of Capital'!E$21))</f>
        <v>0.31997479240865356</v>
      </c>
      <c r="O35" s="2">
        <f t="shared" si="6"/>
        <v>185790.25218041096</v>
      </c>
      <c r="P35" s="1">
        <f t="shared" si="11"/>
        <v>6993954</v>
      </c>
      <c r="Q35" s="1">
        <f t="shared" si="7"/>
        <v>2237888.979265672</v>
      </c>
      <c r="S35" s="1">
        <v>248000</v>
      </c>
      <c r="T35" s="1">
        <f t="shared" si="12"/>
        <v>79353.74851734609</v>
      </c>
      <c r="U35">
        <f t="shared" si="15"/>
        <v>17</v>
      </c>
      <c r="V35" s="30">
        <f t="shared" si="13"/>
        <v>-332640.27726012317</v>
      </c>
      <c r="W35" s="30">
        <f t="shared" si="14"/>
        <v>-106436.50366306487</v>
      </c>
    </row>
    <row r="36" spans="1:23" ht="12.75">
      <c r="A36">
        <f t="shared" si="8"/>
        <v>18</v>
      </c>
      <c r="B36" s="1">
        <f t="shared" si="9"/>
        <v>3445624.14433656</v>
      </c>
      <c r="C36" s="1">
        <f t="shared" si="10"/>
        <v>3219087.8350379285</v>
      </c>
      <c r="D36" s="1">
        <f t="shared" si="0"/>
        <v>3332355.9896872444</v>
      </c>
      <c r="E36" s="1">
        <f>D36*SUM('Cost of Capital'!E$17:E$17)</f>
        <v>108301.56966483545</v>
      </c>
      <c r="F36" s="1">
        <f>D36*'Cost of Capital'!E$16</f>
        <v>166617.79948436224</v>
      </c>
      <c r="G36" s="1">
        <f t="shared" si="16"/>
        <v>337116.826504</v>
      </c>
      <c r="H36" s="1">
        <f t="shared" si="1"/>
        <v>151173.46480000002</v>
      </c>
      <c r="I36" s="2">
        <f t="shared" si="2"/>
        <v>75362.8444986312</v>
      </c>
      <c r="J36" s="1">
        <f t="shared" si="3"/>
        <v>94227.81617453079</v>
      </c>
      <c r="K36" s="1">
        <f t="shared" si="4"/>
        <v>38190.53389553733</v>
      </c>
      <c r="L36" s="1">
        <f>(B$19-SUM(H$19:H35))*E$11</f>
        <v>87302.67592200001</v>
      </c>
      <c r="M36" s="1">
        <f t="shared" si="5"/>
        <v>551586.043766735</v>
      </c>
      <c r="N36">
        <f>N35*(1/(1+'Cost of Capital'!E$21))</f>
        <v>0.2992298595156196</v>
      </c>
      <c r="O36" s="2">
        <f t="shared" si="6"/>
        <v>165051.0143870965</v>
      </c>
      <c r="P36" s="1">
        <f t="shared" si="11"/>
        <v>6993954</v>
      </c>
      <c r="Q36" s="1">
        <f t="shared" si="7"/>
        <v>2092799.8728787056</v>
      </c>
      <c r="S36" s="1">
        <v>248000</v>
      </c>
      <c r="T36" s="1">
        <f t="shared" si="12"/>
        <v>74209.00515987366</v>
      </c>
      <c r="U36">
        <f t="shared" si="15"/>
        <v>18</v>
      </c>
      <c r="V36" s="30">
        <f t="shared" si="13"/>
        <v>-303586.043766735</v>
      </c>
      <c r="W36" s="30">
        <f t="shared" si="14"/>
        <v>-90842.00922722285</v>
      </c>
    </row>
    <row r="37" spans="1:23" ht="12.75">
      <c r="A37">
        <f t="shared" si="8"/>
        <v>19</v>
      </c>
      <c r="B37" s="1">
        <f t="shared" si="9"/>
        <v>3219087.8350379285</v>
      </c>
      <c r="C37" s="1">
        <f t="shared" si="10"/>
        <v>2992551.5257392973</v>
      </c>
      <c r="D37" s="1">
        <f t="shared" si="0"/>
        <v>3105819.6803886127</v>
      </c>
      <c r="E37" s="1">
        <f>D37*SUM('Cost of Capital'!E$17:E$17)</f>
        <v>100939.13961262992</v>
      </c>
      <c r="F37" s="1">
        <f>D37*'Cost of Capital'!E$16</f>
        <v>155290.98401943065</v>
      </c>
      <c r="G37" s="1">
        <f t="shared" si="16"/>
        <v>337116.826504</v>
      </c>
      <c r="H37" s="1">
        <f t="shared" si="1"/>
        <v>151173.46480000002</v>
      </c>
      <c r="I37" s="2">
        <f t="shared" si="2"/>
        <v>75362.8444986312</v>
      </c>
      <c r="J37" s="1">
        <f t="shared" si="3"/>
        <v>75181.548367348</v>
      </c>
      <c r="K37" s="1">
        <f t="shared" si="4"/>
        <v>30471.081553286145</v>
      </c>
      <c r="L37" s="1">
        <f>(B$19-SUM(H$19:H36))*E$11</f>
        <v>84657.140288</v>
      </c>
      <c r="M37" s="1">
        <f t="shared" si="5"/>
        <v>522531.8102733467</v>
      </c>
      <c r="N37">
        <f>N36*(1/(1+'Cost of Capital'!E$21))</f>
        <v>0.27982988332213354</v>
      </c>
      <c r="O37" s="2">
        <f t="shared" si="6"/>
        <v>146220.01550089385</v>
      </c>
      <c r="P37" s="1">
        <f t="shared" si="11"/>
        <v>6993954</v>
      </c>
      <c r="Q37" s="1">
        <f t="shared" si="7"/>
        <v>1957117.3317803692</v>
      </c>
      <c r="S37" s="1">
        <v>248000</v>
      </c>
      <c r="T37" s="1">
        <f t="shared" si="12"/>
        <v>69397.81106388912</v>
      </c>
      <c r="U37">
        <f t="shared" si="15"/>
        <v>19</v>
      </c>
      <c r="V37" s="30">
        <f t="shared" si="13"/>
        <v>-274531.8102733467</v>
      </c>
      <c r="W37" s="30">
        <f t="shared" si="14"/>
        <v>-76822.20443700472</v>
      </c>
    </row>
    <row r="38" spans="1:23" ht="12.75">
      <c r="A38">
        <f t="shared" si="8"/>
        <v>20</v>
      </c>
      <c r="B38" s="1">
        <f t="shared" si="9"/>
        <v>2992551.5257392973</v>
      </c>
      <c r="C38" s="1">
        <f t="shared" si="10"/>
        <v>2766015.216440666</v>
      </c>
      <c r="D38" s="1">
        <f t="shared" si="0"/>
        <v>2879283.371089982</v>
      </c>
      <c r="E38" s="1">
        <f>D38*SUM('Cost of Capital'!E$17:E$17)</f>
        <v>93576.70956042441</v>
      </c>
      <c r="F38" s="1">
        <f>D38*'Cost of Capital'!E$16</f>
        <v>143964.1685544991</v>
      </c>
      <c r="G38" s="1">
        <f t="shared" si="16"/>
        <v>337116.826504</v>
      </c>
      <c r="H38" s="1">
        <f t="shared" si="1"/>
        <v>151173.46480000002</v>
      </c>
      <c r="I38" s="2">
        <f t="shared" si="2"/>
        <v>75362.8444986312</v>
      </c>
      <c r="J38" s="1">
        <f t="shared" si="3"/>
        <v>56135.28056016532</v>
      </c>
      <c r="K38" s="1">
        <f t="shared" si="4"/>
        <v>22751.629211035004</v>
      </c>
      <c r="L38" s="1">
        <f>(B$19-SUM(H$19:H37))*E$11</f>
        <v>82011.604654</v>
      </c>
      <c r="M38" s="1">
        <f t="shared" si="5"/>
        <v>493477.57677995856</v>
      </c>
      <c r="N38">
        <f>N37*(1/(1+'Cost of Capital'!E$21))</f>
        <v>0.26168766622032724</v>
      </c>
      <c r="O38" s="2">
        <f t="shared" si="6"/>
        <v>129136.9953996097</v>
      </c>
      <c r="P38" s="1">
        <f t="shared" si="11"/>
        <v>6993954</v>
      </c>
      <c r="Q38" s="1">
        <f t="shared" si="7"/>
        <v>1830231.4999123225</v>
      </c>
      <c r="S38" s="1">
        <v>248000</v>
      </c>
      <c r="T38" s="1">
        <f t="shared" si="12"/>
        <v>64898.54122264116</v>
      </c>
      <c r="U38">
        <f t="shared" si="15"/>
        <v>20</v>
      </c>
      <c r="V38" s="30">
        <f t="shared" si="13"/>
        <v>-245477.57677995856</v>
      </c>
      <c r="W38" s="30">
        <f t="shared" si="14"/>
        <v>-64238.454176968546</v>
      </c>
    </row>
    <row r="39" spans="1:23" ht="12.75">
      <c r="A39">
        <f t="shared" si="8"/>
        <v>21</v>
      </c>
      <c r="B39" s="1">
        <f t="shared" si="9"/>
        <v>2766015.216440666</v>
      </c>
      <c r="C39" s="1">
        <f t="shared" si="10"/>
        <v>2607795.63203307</v>
      </c>
      <c r="D39" s="1">
        <f t="shared" si="0"/>
        <v>2686905.424236868</v>
      </c>
      <c r="E39" s="1">
        <f>D39*SUM('Cost of Capital'!E$17:E$17)</f>
        <v>87324.42628769821</v>
      </c>
      <c r="F39" s="1">
        <f>D39*'Cost of Capital'!E$16</f>
        <v>134345.2712118434</v>
      </c>
      <c r="G39" s="1">
        <f>B$19*0.0223</f>
        <v>168558.413252</v>
      </c>
      <c r="H39" s="1">
        <f t="shared" si="1"/>
        <v>151173.46480000002</v>
      </c>
      <c r="I39" s="2">
        <f t="shared" si="2"/>
        <v>7046.119607595593</v>
      </c>
      <c r="J39" s="1">
        <f t="shared" si="3"/>
        <v>208519.32464677826</v>
      </c>
      <c r="K39" s="1">
        <f t="shared" si="4"/>
        <v>84512.88227933923</v>
      </c>
      <c r="L39" s="1">
        <f>(B$19-SUM(H$19:H38))*E$11</f>
        <v>79366.06902</v>
      </c>
      <c r="M39" s="1">
        <f t="shared" si="5"/>
        <v>536722.1135988808</v>
      </c>
      <c r="N39">
        <f>N38*(1/(1+'Cost of Capital'!E$21))</f>
        <v>0.2447216638867992</v>
      </c>
      <c r="O39" s="2">
        <f t="shared" si="6"/>
        <v>131347.52868475777</v>
      </c>
      <c r="P39" s="1">
        <f t="shared" si="11"/>
        <v>6993954</v>
      </c>
      <c r="Q39" s="1">
        <f t="shared" si="7"/>
        <v>1711572.0600277348</v>
      </c>
      <c r="S39" s="1">
        <v>248000</v>
      </c>
      <c r="T39" s="1">
        <f t="shared" si="12"/>
        <v>60690.9726439262</v>
      </c>
      <c r="U39">
        <f t="shared" si="15"/>
        <v>21</v>
      </c>
      <c r="V39" s="30">
        <f t="shared" si="13"/>
        <v>-288722.1135988808</v>
      </c>
      <c r="W39" s="30">
        <f t="shared" si="14"/>
        <v>-70656.55604083157</v>
      </c>
    </row>
    <row r="40" spans="1:23" ht="12.75">
      <c r="A40">
        <f t="shared" si="8"/>
        <v>22</v>
      </c>
      <c r="B40" s="1">
        <f t="shared" si="9"/>
        <v>2607795.63203307</v>
      </c>
      <c r="C40" s="1">
        <f t="shared" si="10"/>
        <v>2517892.77251651</v>
      </c>
      <c r="D40" s="1">
        <f t="shared" si="0"/>
        <v>2562844.20227479</v>
      </c>
      <c r="E40" s="1">
        <f>D40*SUM('Cost of Capital'!E$17:E$17)</f>
        <v>83292.43657393068</v>
      </c>
      <c r="F40" s="1">
        <f>D40*'Cost of Capital'!E$16</f>
        <v>128142.21011373951</v>
      </c>
      <c r="G40" s="1">
        <v>0</v>
      </c>
      <c r="H40" s="1">
        <f t="shared" si="1"/>
        <v>151173.46480000002</v>
      </c>
      <c r="I40" s="2">
        <f t="shared" si="2"/>
        <v>-61270.60528344</v>
      </c>
      <c r="J40" s="1">
        <f t="shared" si="3"/>
        <v>366647.1660169826</v>
      </c>
      <c r="K40" s="1">
        <f t="shared" si="4"/>
        <v>148602.09638668303</v>
      </c>
      <c r="L40" s="1">
        <f>(B$19-SUM(H$19:H39))*E$11</f>
        <v>76720.533386</v>
      </c>
      <c r="M40" s="1">
        <f t="shared" si="5"/>
        <v>587930.7412603532</v>
      </c>
      <c r="N40">
        <f>N39*(1/(1+'Cost of Capital'!E$21))</f>
        <v>0.22885561876309596</v>
      </c>
      <c r="O40" s="2">
        <f t="shared" si="6"/>
        <v>134551.25358098382</v>
      </c>
      <c r="P40" s="1">
        <f t="shared" si="11"/>
        <v>6993954</v>
      </c>
      <c r="Q40" s="1">
        <f t="shared" si="7"/>
        <v>1600605.67027063</v>
      </c>
      <c r="S40" s="1">
        <v>248000</v>
      </c>
      <c r="T40" s="1">
        <f t="shared" si="12"/>
        <v>56756.1934532478</v>
      </c>
      <c r="U40">
        <f t="shared" si="15"/>
        <v>22</v>
      </c>
      <c r="V40" s="30">
        <f t="shared" si="13"/>
        <v>-339930.74126035324</v>
      </c>
      <c r="W40" s="30">
        <f t="shared" si="14"/>
        <v>-77795.06012773601</v>
      </c>
    </row>
    <row r="41" spans="1:23" ht="12.75">
      <c r="A41">
        <f t="shared" si="8"/>
        <v>23</v>
      </c>
      <c r="B41" s="1">
        <f t="shared" si="9"/>
        <v>2517892.77251651</v>
      </c>
      <c r="C41" s="1">
        <f t="shared" si="10"/>
        <v>2427989.91299995</v>
      </c>
      <c r="D41" s="1">
        <f t="shared" si="0"/>
        <v>2472941.34275823</v>
      </c>
      <c r="E41" s="1">
        <f>D41*SUM('Cost of Capital'!E$17:E$17)</f>
        <v>80370.59363964248</v>
      </c>
      <c r="F41" s="1">
        <f>D41*'Cost of Capital'!E$16</f>
        <v>123647.06713791151</v>
      </c>
      <c r="G41" s="1">
        <v>0</v>
      </c>
      <c r="H41" s="1">
        <f t="shared" si="1"/>
        <v>151173.46480000002</v>
      </c>
      <c r="I41" s="2">
        <f t="shared" si="2"/>
        <v>-61270.60528344</v>
      </c>
      <c r="J41" s="1">
        <f t="shared" si="3"/>
        <v>359088.49277698254</v>
      </c>
      <c r="K41" s="1">
        <f t="shared" si="4"/>
        <v>145538.56612251102</v>
      </c>
      <c r="L41" s="1">
        <f>(B$19-SUM(H$19:H40))*E$11</f>
        <v>74074.99775199998</v>
      </c>
      <c r="M41" s="1">
        <f t="shared" si="5"/>
        <v>574804.689452065</v>
      </c>
      <c r="N41">
        <f>N40*(1/(1+'Cost of Capital'!E$21))</f>
        <v>0.21401821729876172</v>
      </c>
      <c r="O41" s="2">
        <f t="shared" si="6"/>
        <v>123018.6749314993</v>
      </c>
      <c r="P41" s="1">
        <f t="shared" si="11"/>
        <v>6993954</v>
      </c>
      <c r="Q41" s="1">
        <f t="shared" si="7"/>
        <v>1496833.5669495438</v>
      </c>
      <c r="S41" s="1">
        <v>248000</v>
      </c>
      <c r="T41" s="1">
        <f t="shared" si="12"/>
        <v>53076.51789009291</v>
      </c>
      <c r="U41">
        <f t="shared" si="15"/>
        <v>23</v>
      </c>
      <c r="V41" s="30">
        <f t="shared" si="13"/>
        <v>-326804.68945206504</v>
      </c>
      <c r="W41" s="30">
        <f t="shared" si="14"/>
        <v>-69942.1570414064</v>
      </c>
    </row>
    <row r="42" spans="1:23" ht="12.75">
      <c r="A42">
        <f t="shared" si="8"/>
        <v>24</v>
      </c>
      <c r="B42" s="1">
        <f t="shared" si="9"/>
        <v>2427989.91299995</v>
      </c>
      <c r="C42" s="1">
        <f t="shared" si="10"/>
        <v>2338087.05348339</v>
      </c>
      <c r="D42" s="1">
        <f t="shared" si="0"/>
        <v>2383038.48324167</v>
      </c>
      <c r="E42" s="1">
        <f>D42*SUM('Cost of Capital'!E$17:E$17)</f>
        <v>77448.75070535428</v>
      </c>
      <c r="F42" s="1">
        <f>D42*'Cost of Capital'!E$16</f>
        <v>119151.9241620835</v>
      </c>
      <c r="G42" s="1">
        <v>0</v>
      </c>
      <c r="H42" s="1">
        <f t="shared" si="1"/>
        <v>151173.46480000002</v>
      </c>
      <c r="I42" s="2">
        <f t="shared" si="2"/>
        <v>-61270.60528344</v>
      </c>
      <c r="J42" s="1">
        <f t="shared" si="3"/>
        <v>351529.8195369825</v>
      </c>
      <c r="K42" s="1">
        <f t="shared" si="4"/>
        <v>142475.03585833902</v>
      </c>
      <c r="L42" s="1">
        <f>(B$19-SUM(H$19:H41))*E$11</f>
        <v>71429.46211799998</v>
      </c>
      <c r="M42" s="1">
        <f t="shared" si="5"/>
        <v>561678.6376437768</v>
      </c>
      <c r="N42">
        <f>N41*(1/(1+'Cost of Capital'!E$21))</f>
        <v>0.2001427694163569</v>
      </c>
      <c r="O42" s="2">
        <f t="shared" si="6"/>
        <v>112415.91806003191</v>
      </c>
      <c r="P42" s="1">
        <f t="shared" si="11"/>
        <v>6993954</v>
      </c>
      <c r="Q42" s="1">
        <f t="shared" si="7"/>
        <v>1399789.322730607</v>
      </c>
      <c r="S42" s="1">
        <v>248000</v>
      </c>
      <c r="T42" s="1">
        <f t="shared" si="12"/>
        <v>49635.40681525651</v>
      </c>
      <c r="U42">
        <f t="shared" si="15"/>
        <v>24</v>
      </c>
      <c r="V42" s="30">
        <f t="shared" si="13"/>
        <v>-313678.63764377683</v>
      </c>
      <c r="W42" s="30">
        <f t="shared" si="14"/>
        <v>-62780.5112447754</v>
      </c>
    </row>
    <row r="43" spans="1:23" ht="12.75">
      <c r="A43">
        <f t="shared" si="8"/>
        <v>25</v>
      </c>
      <c r="B43" s="1">
        <f t="shared" si="9"/>
        <v>2338087.05348339</v>
      </c>
      <c r="C43" s="1">
        <f t="shared" si="10"/>
        <v>2248184.1939668297</v>
      </c>
      <c r="D43" s="1">
        <f t="shared" si="0"/>
        <v>2293135.6237251097</v>
      </c>
      <c r="E43" s="1">
        <f>D43*SUM('Cost of Capital'!E$17:E$17)</f>
        <v>74526.90777106606</v>
      </c>
      <c r="F43" s="1">
        <f>D43*'Cost of Capital'!E$16</f>
        <v>114656.7811862555</v>
      </c>
      <c r="G43" s="1">
        <v>0</v>
      </c>
      <c r="H43" s="1">
        <f t="shared" si="1"/>
        <v>151173.46480000002</v>
      </c>
      <c r="I43" s="2">
        <f t="shared" si="2"/>
        <v>-61270.60528344</v>
      </c>
      <c r="J43" s="1">
        <f t="shared" si="3"/>
        <v>343971.14629698254</v>
      </c>
      <c r="K43" s="1">
        <f t="shared" si="4"/>
        <v>139411.505594167</v>
      </c>
      <c r="L43" s="1">
        <f>(B$19-SUM(H$19:H42))*E$11</f>
        <v>68783.92648399998</v>
      </c>
      <c r="M43" s="1">
        <f t="shared" si="5"/>
        <v>548552.5858354885</v>
      </c>
      <c r="N43">
        <f>N42*(1/(1+'Cost of Capital'!E$21))</f>
        <v>0.1871669087577283</v>
      </c>
      <c r="O43" s="2">
        <f t="shared" si="6"/>
        <v>102670.89178188679</v>
      </c>
      <c r="P43" s="1">
        <f t="shared" si="11"/>
        <v>6993954</v>
      </c>
      <c r="Q43" s="1">
        <f t="shared" si="7"/>
        <v>1309036.7501737487</v>
      </c>
      <c r="S43" s="1">
        <v>248000</v>
      </c>
      <c r="T43" s="1">
        <f t="shared" si="12"/>
        <v>46417.393371916616</v>
      </c>
      <c r="U43">
        <f t="shared" si="15"/>
        <v>25</v>
      </c>
      <c r="V43" s="30">
        <f t="shared" si="13"/>
        <v>-300552.5858354885</v>
      </c>
      <c r="W43" s="30">
        <f t="shared" si="14"/>
        <v>-56253.498409970176</v>
      </c>
    </row>
    <row r="44" spans="1:23" ht="12.75">
      <c r="A44">
        <f t="shared" si="8"/>
        <v>26</v>
      </c>
      <c r="B44" s="1">
        <f t="shared" si="9"/>
        <v>2248184.1939668297</v>
      </c>
      <c r="C44" s="1">
        <f t="shared" si="10"/>
        <v>2158281.3344502696</v>
      </c>
      <c r="D44" s="1">
        <f t="shared" si="0"/>
        <v>2203232.7642085496</v>
      </c>
      <c r="E44" s="1">
        <f>D44*SUM('Cost of Capital'!E$17:E$17)</f>
        <v>71605.06483677786</v>
      </c>
      <c r="F44" s="1">
        <f>D44*'Cost of Capital'!E$16</f>
        <v>110161.63821042748</v>
      </c>
      <c r="G44" s="1">
        <v>0</v>
      </c>
      <c r="H44" s="1">
        <f t="shared" si="1"/>
        <v>151173.46480000002</v>
      </c>
      <c r="I44" s="2">
        <f t="shared" si="2"/>
        <v>-61270.60528344</v>
      </c>
      <c r="J44" s="1">
        <f t="shared" si="3"/>
        <v>336412.4730569825</v>
      </c>
      <c r="K44" s="1">
        <f t="shared" si="4"/>
        <v>136347.975329995</v>
      </c>
      <c r="L44" s="1">
        <f>(B$19-SUM(H$19:H43))*E$11</f>
        <v>66138.39084999998</v>
      </c>
      <c r="M44" s="1">
        <f t="shared" si="5"/>
        <v>535426.5340272003</v>
      </c>
      <c r="N44">
        <f>N43*(1/(1+'Cost of Capital'!E$21))</f>
        <v>0.17503231236421976</v>
      </c>
      <c r="O44" s="2">
        <f t="shared" si="6"/>
        <v>93716.94435194046</v>
      </c>
      <c r="P44" s="1">
        <f t="shared" si="11"/>
        <v>6993954</v>
      </c>
      <c r="Q44" s="1">
        <f t="shared" si="7"/>
        <v>1224167.9411889843</v>
      </c>
      <c r="S44" s="1">
        <v>248000</v>
      </c>
      <c r="T44" s="1">
        <f t="shared" si="12"/>
        <v>43408.0134663265</v>
      </c>
      <c r="U44">
        <f t="shared" si="15"/>
        <v>26</v>
      </c>
      <c r="V44" s="30">
        <f t="shared" si="13"/>
        <v>-287426.5340272003</v>
      </c>
      <c r="W44" s="30">
        <f t="shared" si="14"/>
        <v>-50308.93088561396</v>
      </c>
    </row>
    <row r="45" spans="1:23" ht="12.75">
      <c r="A45">
        <f t="shared" si="8"/>
        <v>27</v>
      </c>
      <c r="B45" s="1">
        <f t="shared" si="9"/>
        <v>2158281.3344502696</v>
      </c>
      <c r="C45" s="1">
        <f t="shared" si="10"/>
        <v>2068378.4749337097</v>
      </c>
      <c r="D45" s="1">
        <f t="shared" si="0"/>
        <v>2113329.9046919895</v>
      </c>
      <c r="E45" s="1">
        <f>D45*SUM('Cost of Capital'!E$17:E$17)</f>
        <v>68683.22190248966</v>
      </c>
      <c r="F45" s="1">
        <f>D45*'Cost of Capital'!E$16</f>
        <v>105666.49523459948</v>
      </c>
      <c r="G45" s="1">
        <v>0</v>
      </c>
      <c r="H45" s="1">
        <f t="shared" si="1"/>
        <v>151173.46480000002</v>
      </c>
      <c r="I45" s="2">
        <f t="shared" si="2"/>
        <v>-61270.60528344</v>
      </c>
      <c r="J45" s="1">
        <f t="shared" si="3"/>
        <v>328853.79981698253</v>
      </c>
      <c r="K45" s="1">
        <f t="shared" si="4"/>
        <v>133284.445065823</v>
      </c>
      <c r="L45" s="1">
        <f>(B$19-SUM(H$19:H44))*E$11</f>
        <v>63492.855215999974</v>
      </c>
      <c r="M45" s="1">
        <f t="shared" si="5"/>
        <v>522300.4822189122</v>
      </c>
      <c r="N45">
        <f>N44*(1/(1+'Cost of Capital'!E$21))</f>
        <v>0.16368443853086181</v>
      </c>
      <c r="O45" s="2">
        <f t="shared" si="6"/>
        <v>85492.46117640102</v>
      </c>
      <c r="P45" s="1">
        <f t="shared" si="11"/>
        <v>6993954</v>
      </c>
      <c r="Q45" s="1">
        <f t="shared" si="7"/>
        <v>1144801.433600675</v>
      </c>
      <c r="S45" s="1">
        <v>248000</v>
      </c>
      <c r="T45" s="1">
        <f t="shared" si="12"/>
        <v>40593.74075565373</v>
      </c>
      <c r="U45">
        <f t="shared" si="15"/>
        <v>27</v>
      </c>
      <c r="V45" s="30">
        <f t="shared" si="13"/>
        <v>-274300.4822189122</v>
      </c>
      <c r="W45" s="30">
        <f t="shared" si="14"/>
        <v>-44898.72042074729</v>
      </c>
    </row>
    <row r="46" spans="1:23" ht="12.75">
      <c r="A46">
        <f t="shared" si="8"/>
        <v>28</v>
      </c>
      <c r="B46" s="1">
        <f t="shared" si="9"/>
        <v>2068378.4749337097</v>
      </c>
      <c r="C46" s="1">
        <f t="shared" si="10"/>
        <v>1978475.6154171498</v>
      </c>
      <c r="D46" s="1">
        <f t="shared" si="0"/>
        <v>2023427.04517543</v>
      </c>
      <c r="E46" s="1">
        <f>D46*SUM('Cost of Capital'!E$17:E$17)</f>
        <v>65761.37896820148</v>
      </c>
      <c r="F46" s="1">
        <f>D46*'Cost of Capital'!E$16</f>
        <v>101171.3522587715</v>
      </c>
      <c r="G46" s="1">
        <v>0</v>
      </c>
      <c r="H46" s="1">
        <f t="shared" si="1"/>
        <v>151173.46480000002</v>
      </c>
      <c r="I46" s="2">
        <f t="shared" si="2"/>
        <v>-61270.60528344</v>
      </c>
      <c r="J46" s="1">
        <f t="shared" si="3"/>
        <v>321295.1265769825</v>
      </c>
      <c r="K46" s="1">
        <f t="shared" si="4"/>
        <v>130220.914801651</v>
      </c>
      <c r="L46" s="1">
        <f>(B$19-SUM(H$19:H45))*E$11</f>
        <v>60847.31958199997</v>
      </c>
      <c r="M46" s="1">
        <f t="shared" si="5"/>
        <v>509174.43041062396</v>
      </c>
      <c r="N46">
        <f>N45*(1/(1+'Cost of Capital'!E$21))</f>
        <v>0.15307228165626657</v>
      </c>
      <c r="O46" s="2">
        <f t="shared" si="6"/>
        <v>77940.49182398414</v>
      </c>
      <c r="P46" s="1">
        <f t="shared" si="11"/>
        <v>6993954</v>
      </c>
      <c r="Q46" s="1">
        <f t="shared" si="7"/>
        <v>1070580.4965789723</v>
      </c>
      <c r="S46" s="1">
        <v>248000</v>
      </c>
      <c r="T46" s="1">
        <f t="shared" si="12"/>
        <v>37961.92585075411</v>
      </c>
      <c r="U46">
        <f t="shared" si="15"/>
        <v>28</v>
      </c>
      <c r="V46" s="30">
        <f t="shared" si="13"/>
        <v>-261174.43041062396</v>
      </c>
      <c r="W46" s="30">
        <f t="shared" si="14"/>
        <v>-39978.56597323003</v>
      </c>
    </row>
    <row r="47" spans="1:23" ht="12.75">
      <c r="A47">
        <f t="shared" si="8"/>
        <v>29</v>
      </c>
      <c r="B47" s="1">
        <f t="shared" si="9"/>
        <v>1978475.6154171498</v>
      </c>
      <c r="C47" s="1">
        <f t="shared" si="10"/>
        <v>1888572.75590059</v>
      </c>
      <c r="D47" s="1">
        <f t="shared" si="0"/>
        <v>1933524.1856588698</v>
      </c>
      <c r="E47" s="1">
        <f>D47*SUM('Cost of Capital'!E$17:E$17)</f>
        <v>62839.53603391327</v>
      </c>
      <c r="F47" s="1">
        <f>D47*'Cost of Capital'!E$16</f>
        <v>96676.2092829435</v>
      </c>
      <c r="G47" s="1">
        <v>0</v>
      </c>
      <c r="H47" s="1">
        <f t="shared" si="1"/>
        <v>151173.46480000002</v>
      </c>
      <c r="I47" s="2">
        <f t="shared" si="2"/>
        <v>-61270.60528344</v>
      </c>
      <c r="J47" s="1">
        <f t="shared" si="3"/>
        <v>313736.4533369826</v>
      </c>
      <c r="K47" s="1">
        <f t="shared" si="4"/>
        <v>127157.38453747904</v>
      </c>
      <c r="L47" s="1">
        <f>(B$19-SUM(H$19:H46))*E$11</f>
        <v>58201.78394799997</v>
      </c>
      <c r="M47" s="1">
        <f t="shared" si="5"/>
        <v>496048.3786023358</v>
      </c>
      <c r="N47">
        <f>N46*(1/(1+'Cost of Capital'!E$21))</f>
        <v>0.14314814298634498</v>
      </c>
      <c r="O47" s="2">
        <f t="shared" si="6"/>
        <v>71008.40422831176</v>
      </c>
      <c r="P47" s="1">
        <f t="shared" si="11"/>
        <v>6993954</v>
      </c>
      <c r="Q47" s="1">
        <f t="shared" si="7"/>
        <v>1001171.5272319195</v>
      </c>
      <c r="S47" s="1">
        <v>248000</v>
      </c>
      <c r="T47" s="1">
        <f t="shared" si="12"/>
        <v>35500.73946061356</v>
      </c>
      <c r="U47">
        <f t="shared" si="15"/>
        <v>29</v>
      </c>
      <c r="V47" s="30">
        <f t="shared" si="13"/>
        <v>-248048.3786023358</v>
      </c>
      <c r="W47" s="30">
        <f t="shared" si="14"/>
        <v>-35507.6647676982</v>
      </c>
    </row>
    <row r="48" spans="1:23" ht="12.75">
      <c r="A48">
        <f t="shared" si="8"/>
        <v>30</v>
      </c>
      <c r="B48" s="1">
        <f t="shared" si="9"/>
        <v>1888572.75590059</v>
      </c>
      <c r="C48" s="1">
        <f t="shared" si="10"/>
        <v>1798669.89638403</v>
      </c>
      <c r="D48" s="1">
        <f t="shared" si="0"/>
        <v>1843621.3261423102</v>
      </c>
      <c r="E48" s="1">
        <f>D48*SUM('Cost of Capital'!E$17:E$17)</f>
        <v>59917.69309962508</v>
      </c>
      <c r="F48" s="1">
        <f>D48*'Cost of Capital'!E$16</f>
        <v>92181.06630711551</v>
      </c>
      <c r="G48" s="1">
        <v>0</v>
      </c>
      <c r="H48" s="1">
        <f t="shared" si="1"/>
        <v>151173.46480000002</v>
      </c>
      <c r="I48" s="2">
        <f t="shared" si="2"/>
        <v>-61270.60528344</v>
      </c>
      <c r="J48" s="1">
        <f t="shared" si="3"/>
        <v>306177.78009698255</v>
      </c>
      <c r="K48" s="1">
        <f t="shared" si="4"/>
        <v>124093.85427330702</v>
      </c>
      <c r="L48" s="1">
        <f>(B$19-SUM(H$19:H47))*E$11</f>
        <v>55556.24831399996</v>
      </c>
      <c r="M48" s="1">
        <f t="shared" si="5"/>
        <v>482922.3267940476</v>
      </c>
      <c r="N48">
        <f>N47*(1/(1+'Cost of Capital'!E$21))</f>
        <v>0.1338674162214017</v>
      </c>
      <c r="O48" s="2">
        <f t="shared" si="6"/>
        <v>64647.56412354654</v>
      </c>
      <c r="P48" s="1">
        <f t="shared" si="11"/>
        <v>6993954</v>
      </c>
      <c r="Q48" s="1">
        <f t="shared" si="7"/>
        <v>936262.5511513372</v>
      </c>
      <c r="S48" s="1">
        <v>248000</v>
      </c>
      <c r="T48" s="1">
        <f t="shared" si="12"/>
        <v>33199.11922290762</v>
      </c>
      <c r="U48">
        <f t="shared" si="15"/>
        <v>30</v>
      </c>
      <c r="V48" s="30">
        <f t="shared" si="13"/>
        <v>-234922.3267940476</v>
      </c>
      <c r="W48" s="30">
        <f t="shared" si="14"/>
        <v>-31448.44490063892</v>
      </c>
    </row>
    <row r="49" spans="1:23" ht="12.75">
      <c r="A49">
        <f t="shared" si="8"/>
        <v>31</v>
      </c>
      <c r="B49" s="1">
        <f t="shared" si="9"/>
        <v>1798669.89638403</v>
      </c>
      <c r="C49" s="1">
        <f t="shared" si="10"/>
        <v>1708767.0368674702</v>
      </c>
      <c r="D49" s="1">
        <f t="shared" si="0"/>
        <v>1753718.46662575</v>
      </c>
      <c r="E49" s="1">
        <f>D49*SUM('Cost of Capital'!E$17:E$17)</f>
        <v>56995.85016533688</v>
      </c>
      <c r="F49" s="1">
        <f>D49*'Cost of Capital'!E$16</f>
        <v>87685.92333128751</v>
      </c>
      <c r="G49" s="1">
        <v>0</v>
      </c>
      <c r="H49" s="1">
        <f t="shared" si="1"/>
        <v>151173.46480000002</v>
      </c>
      <c r="I49" s="2">
        <f t="shared" si="2"/>
        <v>-61270.60528344</v>
      </c>
      <c r="J49" s="1">
        <f t="shared" si="3"/>
        <v>298619.1068569826</v>
      </c>
      <c r="K49" s="1">
        <f t="shared" si="4"/>
        <v>121030.32400913503</v>
      </c>
      <c r="L49" s="1">
        <f>(B$19-SUM(H$19:H48))*E$11</f>
        <v>52910.71267999996</v>
      </c>
      <c r="M49" s="1">
        <f t="shared" si="5"/>
        <v>469796.27498575934</v>
      </c>
      <c r="N49">
        <f>N48*(1/(1+'Cost of Capital'!E$21))</f>
        <v>0.12518838702296997</v>
      </c>
      <c r="O49" s="4">
        <f t="shared" si="6"/>
        <v>58813.037894866866</v>
      </c>
      <c r="P49" s="1">
        <f t="shared" si="11"/>
        <v>6993954</v>
      </c>
      <c r="Q49" s="1">
        <f t="shared" si="7"/>
        <v>875561.8201728489</v>
      </c>
      <c r="S49" s="1">
        <v>50000</v>
      </c>
      <c r="T49" s="1">
        <f t="shared" si="12"/>
        <v>6259.419351148498</v>
      </c>
      <c r="U49">
        <f t="shared" si="15"/>
        <v>31</v>
      </c>
      <c r="V49" s="30">
        <f t="shared" si="13"/>
        <v>-419796.27498575934</v>
      </c>
      <c r="W49" s="30">
        <f t="shared" si="14"/>
        <v>-52553.61854371837</v>
      </c>
    </row>
    <row r="50" spans="1:23" ht="12.75">
      <c r="A50">
        <f t="shared" si="8"/>
        <v>32</v>
      </c>
      <c r="B50" s="1">
        <f t="shared" si="9"/>
        <v>1708767.0368674702</v>
      </c>
      <c r="C50" s="1">
        <f t="shared" si="10"/>
        <v>1618864.1773509104</v>
      </c>
      <c r="D50" s="1">
        <f t="shared" si="0"/>
        <v>1663815.6071091904</v>
      </c>
      <c r="E50" s="1">
        <f>D50*SUM('Cost of Capital'!E$17:E$17)</f>
        <v>54074.007231048694</v>
      </c>
      <c r="F50" s="1">
        <f>D50*'Cost of Capital'!E$16</f>
        <v>83190.78035545953</v>
      </c>
      <c r="G50" s="1">
        <v>0</v>
      </c>
      <c r="H50" s="1">
        <f t="shared" si="1"/>
        <v>151173.46480000002</v>
      </c>
      <c r="I50" s="2">
        <f t="shared" si="2"/>
        <v>-61270.60528344</v>
      </c>
      <c r="J50" s="1">
        <f t="shared" si="3"/>
        <v>291060.4336169826</v>
      </c>
      <c r="K50" s="1">
        <f t="shared" si="4"/>
        <v>117966.79374496304</v>
      </c>
      <c r="L50" s="1">
        <f>(B$19-SUM(H$19:H49))*E$11</f>
        <v>50265.17704599995</v>
      </c>
      <c r="M50" s="1">
        <f t="shared" si="5"/>
        <v>456670.22317747126</v>
      </c>
      <c r="N50">
        <f>N49*(1/(1+'Cost of Capital'!E$21))</f>
        <v>0.11707204551922455</v>
      </c>
      <c r="O50" s="4">
        <f t="shared" si="6"/>
        <v>53463.31715510735</v>
      </c>
      <c r="P50" s="1">
        <f t="shared" si="11"/>
        <v>6993954</v>
      </c>
      <c r="Q50" s="1">
        <f t="shared" si="7"/>
        <v>818796.5010473626</v>
      </c>
      <c r="S50" s="1">
        <f>+S49</f>
        <v>50000</v>
      </c>
      <c r="T50" s="1">
        <f t="shared" si="12"/>
        <v>5853.602275961228</v>
      </c>
      <c r="U50">
        <f t="shared" si="15"/>
        <v>32</v>
      </c>
      <c r="V50" s="30">
        <f t="shared" si="13"/>
        <v>-406670.22317747126</v>
      </c>
      <c r="W50" s="30">
        <f t="shared" si="14"/>
        <v>-47609.71487914612</v>
      </c>
    </row>
    <row r="51" spans="1:23" ht="12.75">
      <c r="A51">
        <f t="shared" si="8"/>
        <v>33</v>
      </c>
      <c r="B51" s="1">
        <f t="shared" si="9"/>
        <v>1618864.1773509104</v>
      </c>
      <c r="C51" s="1">
        <f t="shared" si="10"/>
        <v>1528961.3178343505</v>
      </c>
      <c r="D51" s="1">
        <f t="shared" si="0"/>
        <v>1573912.7475926303</v>
      </c>
      <c r="E51" s="1">
        <f>D51*SUM('Cost of Capital'!E$17:E$17)</f>
        <v>51152.164296760486</v>
      </c>
      <c r="F51" s="1">
        <f>D51*'Cost of Capital'!E$16</f>
        <v>78695.63737963152</v>
      </c>
      <c r="G51" s="1">
        <v>0</v>
      </c>
      <c r="H51" s="1">
        <f t="shared" si="1"/>
        <v>151173.46480000002</v>
      </c>
      <c r="I51" s="2">
        <f t="shared" si="2"/>
        <v>-61270.60528344</v>
      </c>
      <c r="J51" s="1">
        <f t="shared" si="3"/>
        <v>283501.76037698257</v>
      </c>
      <c r="K51" s="1">
        <f t="shared" si="4"/>
        <v>114903.26348079104</v>
      </c>
      <c r="L51" s="1">
        <f>(B$19-SUM(H$19:H50))*E$11</f>
        <v>47619.64141199995</v>
      </c>
      <c r="M51" s="1">
        <f t="shared" si="5"/>
        <v>443544.171369183</v>
      </c>
      <c r="N51">
        <f>N50*(1/(1+'Cost of Capital'!E$21))</f>
        <v>0.10948191096623515</v>
      </c>
      <c r="O51" s="4">
        <f t="shared" si="6"/>
        <v>48560.06347943344</v>
      </c>
      <c r="P51" s="1">
        <f t="shared" si="11"/>
        <v>6993954</v>
      </c>
      <c r="Q51" s="1">
        <f t="shared" si="7"/>
        <v>765711.4491299442</v>
      </c>
      <c r="S51" s="1">
        <f aca="true" t="shared" si="17" ref="S51:S68">+S50</f>
        <v>50000</v>
      </c>
      <c r="T51" s="1">
        <f t="shared" si="12"/>
        <v>5474.095548311758</v>
      </c>
      <c r="U51">
        <f t="shared" si="15"/>
        <v>33</v>
      </c>
      <c r="V51" s="30">
        <f t="shared" si="13"/>
        <v>-393544.171369183</v>
      </c>
      <c r="W51" s="30">
        <f t="shared" si="14"/>
        <v>-43085.96793112168</v>
      </c>
    </row>
    <row r="52" spans="1:23" ht="12.75">
      <c r="A52">
        <f t="shared" si="8"/>
        <v>34</v>
      </c>
      <c r="B52" s="1">
        <f t="shared" si="9"/>
        <v>1528961.3178343505</v>
      </c>
      <c r="C52" s="1">
        <f t="shared" si="10"/>
        <v>1439058.4583177906</v>
      </c>
      <c r="D52" s="1">
        <f t="shared" si="0"/>
        <v>1484009.8880760707</v>
      </c>
      <c r="E52" s="1">
        <f>D52*SUM('Cost of Capital'!E$17:E$17)</f>
        <v>48230.3213624723</v>
      </c>
      <c r="F52" s="1">
        <f>D52*'Cost of Capital'!E$16</f>
        <v>74200.49440380353</v>
      </c>
      <c r="G52" s="1">
        <v>0</v>
      </c>
      <c r="H52" s="1">
        <f t="shared" si="1"/>
        <v>151173.46480000002</v>
      </c>
      <c r="I52" s="2">
        <f t="shared" si="2"/>
        <v>-61270.60528344</v>
      </c>
      <c r="J52" s="1">
        <f t="shared" si="3"/>
        <v>275943.0871369826</v>
      </c>
      <c r="K52" s="1">
        <f t="shared" si="4"/>
        <v>111839.73321661905</v>
      </c>
      <c r="L52" s="1">
        <f>(B$19-SUM(H$19:H51))*E$11</f>
        <v>44974.10577799995</v>
      </c>
      <c r="M52" s="1">
        <f t="shared" si="5"/>
        <v>430418.11956089485</v>
      </c>
      <c r="N52">
        <f>N51*(1/(1+'Cost of Capital'!E$21))</f>
        <v>0.10238386777696094</v>
      </c>
      <c r="O52" s="4">
        <f t="shared" si="6"/>
        <v>44067.87184193083</v>
      </c>
      <c r="P52" s="1">
        <f t="shared" si="11"/>
        <v>6993954</v>
      </c>
      <c r="Q52" s="1">
        <f t="shared" si="7"/>
        <v>716068.0615741471</v>
      </c>
      <c r="S52" s="1">
        <f t="shared" si="17"/>
        <v>50000</v>
      </c>
      <c r="T52" s="1">
        <f t="shared" si="12"/>
        <v>5119.193388848047</v>
      </c>
      <c r="U52">
        <f t="shared" si="15"/>
        <v>34</v>
      </c>
      <c r="V52" s="30">
        <f t="shared" si="13"/>
        <v>-380418.11956089485</v>
      </c>
      <c r="W52" s="30">
        <f t="shared" si="14"/>
        <v>-38948.67845308278</v>
      </c>
    </row>
    <row r="53" spans="1:23" ht="12.75">
      <c r="A53">
        <f t="shared" si="8"/>
        <v>35</v>
      </c>
      <c r="B53" s="1">
        <f t="shared" si="9"/>
        <v>1439058.4583177906</v>
      </c>
      <c r="C53" s="1">
        <f t="shared" si="10"/>
        <v>1349155.5988012308</v>
      </c>
      <c r="D53" s="1">
        <f t="shared" si="0"/>
        <v>1394107.0285595106</v>
      </c>
      <c r="E53" s="1">
        <f>D53*SUM('Cost of Capital'!E$17:E$17)</f>
        <v>45308.4784281841</v>
      </c>
      <c r="F53" s="1">
        <f>D53*'Cost of Capital'!E$16</f>
        <v>69705.35142797553</v>
      </c>
      <c r="G53" s="1">
        <v>0</v>
      </c>
      <c r="H53" s="1">
        <f t="shared" si="1"/>
        <v>151173.46480000002</v>
      </c>
      <c r="I53" s="2">
        <f t="shared" si="2"/>
        <v>-61270.60528344</v>
      </c>
      <c r="J53" s="1">
        <f t="shared" si="3"/>
        <v>268384.41389698256</v>
      </c>
      <c r="K53" s="1">
        <f t="shared" si="4"/>
        <v>108776.20295244703</v>
      </c>
      <c r="L53" s="1">
        <f>(B$19-SUM(H$19:H52))*E$11</f>
        <v>42328.57014399995</v>
      </c>
      <c r="M53" s="1">
        <f t="shared" si="5"/>
        <v>417292.06775260664</v>
      </c>
      <c r="N53">
        <f>N52*(1/(1+'Cost of Capital'!E$21))</f>
        <v>0.09574601218098094</v>
      </c>
      <c r="O53" s="4">
        <f t="shared" si="6"/>
        <v>39954.0514020678</v>
      </c>
      <c r="P53" s="1">
        <f t="shared" si="11"/>
        <v>6993954</v>
      </c>
      <c r="Q53" s="1">
        <f t="shared" si="7"/>
        <v>669643.2048772204</v>
      </c>
      <c r="S53" s="1">
        <f t="shared" si="17"/>
        <v>50000</v>
      </c>
      <c r="T53" s="1">
        <f t="shared" si="12"/>
        <v>4787.300609049047</v>
      </c>
      <c r="U53">
        <f t="shared" si="15"/>
        <v>35</v>
      </c>
      <c r="V53" s="30">
        <f t="shared" si="13"/>
        <v>-367292.06775260664</v>
      </c>
      <c r="W53" s="30">
        <f t="shared" si="14"/>
        <v>-35166.75079301876</v>
      </c>
    </row>
    <row r="54" spans="1:23" ht="12.75">
      <c r="A54">
        <f t="shared" si="8"/>
        <v>36</v>
      </c>
      <c r="B54" s="1">
        <f t="shared" si="9"/>
        <v>1349155.5988012308</v>
      </c>
      <c r="C54" s="1">
        <f t="shared" si="10"/>
        <v>1259252.739284671</v>
      </c>
      <c r="D54" s="1">
        <f t="shared" si="0"/>
        <v>1304204.169042951</v>
      </c>
      <c r="E54" s="1">
        <f>D54*SUM('Cost of Capital'!E$17:E$17)</f>
        <v>42386.635493895905</v>
      </c>
      <c r="F54" s="1">
        <f>D54*'Cost of Capital'!E$16</f>
        <v>65210.20845214755</v>
      </c>
      <c r="G54" s="1">
        <v>0</v>
      </c>
      <c r="H54" s="1">
        <f t="shared" si="1"/>
        <v>151173.46480000002</v>
      </c>
      <c r="I54" s="2">
        <f t="shared" si="2"/>
        <v>-61270.60528344</v>
      </c>
      <c r="J54" s="1">
        <f t="shared" si="3"/>
        <v>260825.7406569826</v>
      </c>
      <c r="K54" s="1">
        <f t="shared" si="4"/>
        <v>105712.67268827505</v>
      </c>
      <c r="L54" s="1">
        <f>(B$19-SUM(H$19:H53))*E$11</f>
        <v>39683.03450999994</v>
      </c>
      <c r="M54" s="1">
        <f t="shared" si="5"/>
        <v>404166.0159443185</v>
      </c>
      <c r="N54">
        <f>N53*(1/(1+'Cost of Capital'!E$21))</f>
        <v>0.08953850882573743</v>
      </c>
      <c r="O54" s="4">
        <f t="shared" si="6"/>
        <v>36188.42238569349</v>
      </c>
      <c r="P54" s="1">
        <f t="shared" si="11"/>
        <v>6993954</v>
      </c>
      <c r="Q54" s="1">
        <f t="shared" si="7"/>
        <v>626228.2119558016</v>
      </c>
      <c r="S54" s="1">
        <f t="shared" si="17"/>
        <v>50000</v>
      </c>
      <c r="T54" s="1">
        <f t="shared" si="12"/>
        <v>4476.925441286871</v>
      </c>
      <c r="U54">
        <f t="shared" si="15"/>
        <v>36</v>
      </c>
      <c r="V54" s="30">
        <f t="shared" si="13"/>
        <v>-354166.0159443185</v>
      </c>
      <c r="W54" s="30">
        <f t="shared" si="14"/>
        <v>-31711.49694440662</v>
      </c>
    </row>
    <row r="55" spans="1:23" ht="12.75">
      <c r="A55">
        <f t="shared" si="8"/>
        <v>37</v>
      </c>
      <c r="B55" s="1">
        <f t="shared" si="9"/>
        <v>1259252.739284671</v>
      </c>
      <c r="C55" s="1">
        <f t="shared" si="10"/>
        <v>1169349.879768111</v>
      </c>
      <c r="D55" s="1">
        <f t="shared" si="0"/>
        <v>1214301.3095263909</v>
      </c>
      <c r="E55" s="1">
        <f>D55*SUM('Cost of Capital'!E$17:E$17)</f>
        <v>39464.792559607704</v>
      </c>
      <c r="F55" s="1">
        <f>D55*'Cost of Capital'!E$16</f>
        <v>60715.06547631955</v>
      </c>
      <c r="G55" s="1">
        <v>0</v>
      </c>
      <c r="H55" s="1">
        <f t="shared" si="1"/>
        <v>151173.46480000002</v>
      </c>
      <c r="I55" s="2">
        <f t="shared" si="2"/>
        <v>-61270.60528344</v>
      </c>
      <c r="J55" s="1">
        <f t="shared" si="3"/>
        <v>253267.0674169826</v>
      </c>
      <c r="K55" s="1">
        <f t="shared" si="4"/>
        <v>102649.14242410305</v>
      </c>
      <c r="L55" s="1">
        <f>(B$19-SUM(H$19:H54))*E$11</f>
        <v>37037.49887599994</v>
      </c>
      <c r="M55" s="1">
        <f t="shared" si="5"/>
        <v>391039.9641360303</v>
      </c>
      <c r="N55">
        <f>N54*(1/(1+'Cost of Capital'!E$21))</f>
        <v>0.08373345667475424</v>
      </c>
      <c r="O55" s="4">
        <f t="shared" si="6"/>
        <v>32743.127895081743</v>
      </c>
      <c r="P55" s="1">
        <f t="shared" si="11"/>
        <v>6993954</v>
      </c>
      <c r="Q55" s="1">
        <f t="shared" si="7"/>
        <v>585627.9442442241</v>
      </c>
      <c r="S55" s="1">
        <f t="shared" si="17"/>
        <v>50000</v>
      </c>
      <c r="T55" s="1">
        <f t="shared" si="12"/>
        <v>4186.672833737712</v>
      </c>
      <c r="U55">
        <f t="shared" si="15"/>
        <v>37</v>
      </c>
      <c r="V55" s="30">
        <f t="shared" si="13"/>
        <v>-341039.9641360303</v>
      </c>
      <c r="W55" s="30">
        <f t="shared" si="14"/>
        <v>-28556.45506134403</v>
      </c>
    </row>
    <row r="56" spans="1:23" ht="12.75">
      <c r="A56">
        <f t="shared" si="8"/>
        <v>38</v>
      </c>
      <c r="B56" s="1">
        <f t="shared" si="9"/>
        <v>1169349.879768111</v>
      </c>
      <c r="C56" s="1">
        <f t="shared" si="10"/>
        <v>1079447.0202515512</v>
      </c>
      <c r="D56" s="1">
        <f t="shared" si="0"/>
        <v>1124398.4500098312</v>
      </c>
      <c r="E56" s="1">
        <f>D56*SUM('Cost of Capital'!E$17:E$17)</f>
        <v>36542.94962531952</v>
      </c>
      <c r="F56" s="1">
        <f>D56*'Cost of Capital'!E$16</f>
        <v>56219.922500491564</v>
      </c>
      <c r="G56" s="1">
        <v>0</v>
      </c>
      <c r="H56" s="1">
        <f t="shared" si="1"/>
        <v>151173.46480000002</v>
      </c>
      <c r="I56" s="2">
        <f t="shared" si="2"/>
        <v>-61270.60528344</v>
      </c>
      <c r="J56" s="1">
        <f t="shared" si="3"/>
        <v>245708.3941769826</v>
      </c>
      <c r="K56" s="1">
        <f t="shared" si="4"/>
        <v>99585.61215993104</v>
      </c>
      <c r="L56" s="1">
        <f>(B$19-SUM(H$19:H55))*E$11</f>
        <v>34391.96324199993</v>
      </c>
      <c r="M56" s="1">
        <f t="shared" si="5"/>
        <v>377913.91232774203</v>
      </c>
      <c r="N56">
        <f>N55*(1/(1+'Cost of Capital'!E$21))</f>
        <v>0.07830476360007887</v>
      </c>
      <c r="O56" s="4">
        <f t="shared" si="6"/>
        <v>29592.459566004774</v>
      </c>
      <c r="P56" s="1">
        <f t="shared" si="11"/>
        <v>6993954</v>
      </c>
      <c r="Q56" s="1">
        <f t="shared" si="7"/>
        <v>547659.9145998261</v>
      </c>
      <c r="S56" s="1">
        <f t="shared" si="17"/>
        <v>50000</v>
      </c>
      <c r="T56" s="1">
        <f t="shared" si="12"/>
        <v>3915.238180003944</v>
      </c>
      <c r="U56">
        <f t="shared" si="15"/>
        <v>38</v>
      </c>
      <c r="V56" s="30">
        <f t="shared" si="13"/>
        <v>-327913.91232774203</v>
      </c>
      <c r="W56" s="30">
        <f t="shared" si="14"/>
        <v>-25677.22138600083</v>
      </c>
    </row>
    <row r="57" spans="1:23" ht="12.75">
      <c r="A57">
        <f t="shared" si="8"/>
        <v>39</v>
      </c>
      <c r="B57" s="1">
        <f t="shared" si="9"/>
        <v>1079447.0202515512</v>
      </c>
      <c r="C57" s="1">
        <f t="shared" si="10"/>
        <v>989544.1607349912</v>
      </c>
      <c r="D57" s="1">
        <f t="shared" si="0"/>
        <v>1034495.5904932711</v>
      </c>
      <c r="E57" s="1">
        <f>D57*SUM('Cost of Capital'!E$17:E$17)</f>
        <v>33621.10669103131</v>
      </c>
      <c r="F57" s="1">
        <f>D57*'Cost of Capital'!E$16</f>
        <v>51724.77952466356</v>
      </c>
      <c r="G57" s="1">
        <v>0</v>
      </c>
      <c r="H57" s="1">
        <f t="shared" si="1"/>
        <v>151173.46480000002</v>
      </c>
      <c r="I57" s="2">
        <f t="shared" si="2"/>
        <v>-61270.60528344</v>
      </c>
      <c r="J57" s="1">
        <f t="shared" si="3"/>
        <v>238149.72093698263</v>
      </c>
      <c r="K57" s="1">
        <f t="shared" si="4"/>
        <v>96522.08189575905</v>
      </c>
      <c r="L57" s="1">
        <f>(B$19-SUM(H$19:H56))*E$11</f>
        <v>31746.42760799993</v>
      </c>
      <c r="M57" s="1">
        <f t="shared" si="5"/>
        <v>364787.8605194539</v>
      </c>
      <c r="N57">
        <f>N56*(1/(1+'Cost of Capital'!E$21))</f>
        <v>0.07322802910527561</v>
      </c>
      <c r="O57" s="4">
        <f t="shared" si="6"/>
        <v>26712.696067369787</v>
      </c>
      <c r="P57" s="1">
        <f t="shared" si="11"/>
        <v>6993954</v>
      </c>
      <c r="Q57" s="1">
        <f t="shared" si="7"/>
        <v>512153.46707295877</v>
      </c>
      <c r="S57" s="1">
        <f t="shared" si="17"/>
        <v>50000</v>
      </c>
      <c r="T57" s="1">
        <f t="shared" si="12"/>
        <v>3661.4014552637805</v>
      </c>
      <c r="U57">
        <f t="shared" si="15"/>
        <v>39</v>
      </c>
      <c r="V57" s="30">
        <f t="shared" si="13"/>
        <v>-314787.8605194539</v>
      </c>
      <c r="W57" s="30">
        <f t="shared" si="14"/>
        <v>-23051.294612106005</v>
      </c>
    </row>
    <row r="58" spans="1:23" ht="12.75">
      <c r="A58">
        <f t="shared" si="8"/>
        <v>40</v>
      </c>
      <c r="B58" s="1">
        <f t="shared" si="9"/>
        <v>989544.1607349912</v>
      </c>
      <c r="C58" s="1">
        <f t="shared" si="10"/>
        <v>899641.3012184311</v>
      </c>
      <c r="D58" s="1">
        <f t="shared" si="0"/>
        <v>944592.7309767111</v>
      </c>
      <c r="E58" s="1">
        <f>D58*SUM('Cost of Capital'!E$17:E$17)</f>
        <v>30699.263756743112</v>
      </c>
      <c r="F58" s="1">
        <f>D58*'Cost of Capital'!E$16</f>
        <v>47229.63654883556</v>
      </c>
      <c r="G58" s="1">
        <v>0</v>
      </c>
      <c r="H58" s="1">
        <f t="shared" si="1"/>
        <v>151173.46480000002</v>
      </c>
      <c r="I58" s="2">
        <f t="shared" si="2"/>
        <v>-61270.60528344</v>
      </c>
      <c r="J58" s="1">
        <f t="shared" si="3"/>
        <v>230591.04769698263</v>
      </c>
      <c r="K58" s="1">
        <f t="shared" si="4"/>
        <v>93458.55163158706</v>
      </c>
      <c r="L58" s="1">
        <f>(B$19-SUM(H$19:H57))*E$11</f>
        <v>29100.891973999926</v>
      </c>
      <c r="M58" s="1">
        <f t="shared" si="5"/>
        <v>351661.8087111657</v>
      </c>
      <c r="N58">
        <f>N57*(1/(1+'Cost of Capital'!E$21))</f>
        <v>0.06848043465184141</v>
      </c>
      <c r="O58" s="4">
        <f t="shared" si="6"/>
        <v>24081.953510993335</v>
      </c>
      <c r="P58" s="1">
        <f t="shared" si="11"/>
        <v>6993954</v>
      </c>
      <c r="Q58" s="1">
        <f t="shared" si="7"/>
        <v>478949.0098549848</v>
      </c>
      <c r="S58" s="1">
        <f t="shared" si="17"/>
        <v>50000</v>
      </c>
      <c r="T58" s="1">
        <f t="shared" si="12"/>
        <v>3424.0217325920703</v>
      </c>
      <c r="U58">
        <f t="shared" si="15"/>
        <v>40</v>
      </c>
      <c r="V58" s="30">
        <f t="shared" si="13"/>
        <v>-301661.8087111657</v>
      </c>
      <c r="W58" s="30">
        <f t="shared" si="14"/>
        <v>-20657.931778401264</v>
      </c>
    </row>
    <row r="59" spans="1:23" ht="12.75">
      <c r="A59">
        <f t="shared" si="8"/>
        <v>41</v>
      </c>
      <c r="B59" s="1">
        <f aca="true" t="shared" si="18" ref="B59:B68">C58</f>
        <v>899641.3012184311</v>
      </c>
      <c r="C59" s="1">
        <f aca="true" t="shared" si="19" ref="C59:C68">C58-H59-I59</f>
        <v>809738.441701871</v>
      </c>
      <c r="D59" s="1">
        <f aca="true" t="shared" si="20" ref="D59:D68">AVERAGE(B59:C59)</f>
        <v>854689.871460151</v>
      </c>
      <c r="E59" s="1">
        <f>D59*SUM('Cost of Capital'!E$17:E$17)</f>
        <v>27777.42082245491</v>
      </c>
      <c r="F59" s="1">
        <f>D59*'Cost of Capital'!E$16</f>
        <v>42734.49357300755</v>
      </c>
      <c r="G59" s="1">
        <v>0</v>
      </c>
      <c r="H59" s="1">
        <f aca="true" t="shared" si="21" ref="H59:H68">E$9/E$10</f>
        <v>151173.46480000002</v>
      </c>
      <c r="I59" s="2">
        <f aca="true" t="shared" si="22" ref="I59:I68">(G59-H59)*E$13</f>
        <v>-61270.60528344</v>
      </c>
      <c r="J59" s="1">
        <f aca="true" t="shared" si="23" ref="J59:J68">(+F59+H59-G59+I59)/(1-E$13)</f>
        <v>223032.37445698262</v>
      </c>
      <c r="K59" s="1">
        <f aca="true" t="shared" si="24" ref="K59:K68">J59*E$13</f>
        <v>90395.02136741506</v>
      </c>
      <c r="L59" s="1">
        <f>(B$19-SUM(H$19:H58))*E$11</f>
        <v>26455.356339999922</v>
      </c>
      <c r="M59" s="1">
        <f aca="true" t="shared" si="25" ref="M59:M68">SUM(E59:F59,H59,K59:L59)</f>
        <v>338535.7569028775</v>
      </c>
      <c r="N59">
        <f>N58*(1/(1+'Cost of Capital'!E$21))</f>
        <v>0.06404064109609182</v>
      </c>
      <c r="O59" s="4">
        <f aca="true" t="shared" si="26" ref="O59:O68">M59*N59</f>
        <v>21680.046906010968</v>
      </c>
      <c r="P59" s="1"/>
      <c r="Q59" s="1"/>
      <c r="S59" s="1">
        <f t="shared" si="17"/>
        <v>50000</v>
      </c>
      <c r="T59" s="1">
        <f t="shared" si="12"/>
        <v>3202.032054804591</v>
      </c>
      <c r="U59">
        <f t="shared" si="15"/>
        <v>41</v>
      </c>
      <c r="V59" s="30">
        <f t="shared" si="13"/>
        <v>-288535.7569028775</v>
      </c>
      <c r="W59" s="30">
        <f t="shared" si="14"/>
        <v>-18478.014851206375</v>
      </c>
    </row>
    <row r="60" spans="1:23" ht="12.75">
      <c r="A60">
        <f t="shared" si="8"/>
        <v>42</v>
      </c>
      <c r="B60" s="1">
        <f t="shared" si="18"/>
        <v>809738.441701871</v>
      </c>
      <c r="C60" s="1">
        <f t="shared" si="19"/>
        <v>719835.5821853109</v>
      </c>
      <c r="D60" s="1">
        <f t="shared" si="20"/>
        <v>764787.011943591</v>
      </c>
      <c r="E60" s="1">
        <f>D60*SUM('Cost of Capital'!E$17:E$17)</f>
        <v>24855.577888166707</v>
      </c>
      <c r="F60" s="1">
        <f>D60*'Cost of Capital'!E$16</f>
        <v>38239.350597179546</v>
      </c>
      <c r="G60" s="1">
        <v>0</v>
      </c>
      <c r="H60" s="1">
        <f t="shared" si="21"/>
        <v>151173.46480000002</v>
      </c>
      <c r="I60" s="2">
        <f t="shared" si="22"/>
        <v>-61270.60528344</v>
      </c>
      <c r="J60" s="1">
        <f t="shared" si="23"/>
        <v>215473.70121698262</v>
      </c>
      <c r="K60" s="1">
        <f t="shared" si="24"/>
        <v>87331.49110324305</v>
      </c>
      <c r="L60" s="1">
        <f>(B$19-SUM(H$19:H59))*E$11</f>
        <v>23809.82070599992</v>
      </c>
      <c r="M60" s="1">
        <f t="shared" si="25"/>
        <v>325409.7050945892</v>
      </c>
      <c r="N60">
        <f>N59*(1/(1+'Cost of Capital'!E$21))</f>
        <v>0.05988869277552352</v>
      </c>
      <c r="O60" s="4">
        <f t="shared" si="26"/>
        <v>19488.361854583563</v>
      </c>
      <c r="P60" s="1"/>
      <c r="Q60" s="1"/>
      <c r="S60" s="1">
        <f t="shared" si="17"/>
        <v>50000</v>
      </c>
      <c r="T60" s="1">
        <f t="shared" si="12"/>
        <v>2994.434638776176</v>
      </c>
      <c r="U60">
        <f t="shared" si="15"/>
        <v>42</v>
      </c>
      <c r="V60" s="30">
        <f t="shared" si="13"/>
        <v>-275409.7050945892</v>
      </c>
      <c r="W60" s="30">
        <f t="shared" si="14"/>
        <v>-16493.927215807387</v>
      </c>
    </row>
    <row r="61" spans="1:23" ht="12.75">
      <c r="A61">
        <f t="shared" si="8"/>
        <v>43</v>
      </c>
      <c r="B61" s="1">
        <f t="shared" si="18"/>
        <v>719835.5821853109</v>
      </c>
      <c r="C61" s="1">
        <f t="shared" si="19"/>
        <v>629932.7226687508</v>
      </c>
      <c r="D61" s="1">
        <f t="shared" si="20"/>
        <v>674884.1524270308</v>
      </c>
      <c r="E61" s="1">
        <f>D61*SUM('Cost of Capital'!E$17:E$17)</f>
        <v>21933.734953878502</v>
      </c>
      <c r="F61" s="1">
        <f>D61*'Cost of Capital'!E$16</f>
        <v>33744.20762135155</v>
      </c>
      <c r="G61" s="1">
        <v>0</v>
      </c>
      <c r="H61" s="1">
        <f t="shared" si="21"/>
        <v>151173.46480000002</v>
      </c>
      <c r="I61" s="2">
        <f t="shared" si="22"/>
        <v>-61270.60528344</v>
      </c>
      <c r="J61" s="1">
        <f t="shared" si="23"/>
        <v>207915.02797698262</v>
      </c>
      <c r="K61" s="1">
        <f t="shared" si="24"/>
        <v>84267.96083907105</v>
      </c>
      <c r="L61" s="1">
        <f>(B$19-SUM(H$19:H60))*E$11</f>
        <v>21164.285071999915</v>
      </c>
      <c r="M61" s="1">
        <f t="shared" si="25"/>
        <v>312283.653286301</v>
      </c>
      <c r="N61">
        <f>N60*(1/(1+'Cost of Capital'!E$21))</f>
        <v>0.05600592781354783</v>
      </c>
      <c r="O61" s="4">
        <f t="shared" si="26"/>
        <v>17489.735743303572</v>
      </c>
      <c r="P61" s="1"/>
      <c r="Q61" s="1"/>
      <c r="S61" s="1">
        <f t="shared" si="17"/>
        <v>50000</v>
      </c>
      <c r="T61" s="1">
        <f t="shared" si="12"/>
        <v>2800.2963906773916</v>
      </c>
      <c r="U61">
        <f t="shared" si="15"/>
        <v>43</v>
      </c>
      <c r="V61" s="30">
        <f t="shared" si="13"/>
        <v>-262283.653286301</v>
      </c>
      <c r="W61" s="30">
        <f t="shared" si="14"/>
        <v>-14689.439352626181</v>
      </c>
    </row>
    <row r="62" spans="1:23" ht="12.75">
      <c r="A62">
        <f t="shared" si="8"/>
        <v>44</v>
      </c>
      <c r="B62" s="1">
        <f t="shared" si="18"/>
        <v>629932.7226687508</v>
      </c>
      <c r="C62" s="1">
        <f t="shared" si="19"/>
        <v>540029.8631521908</v>
      </c>
      <c r="D62" s="1">
        <f t="shared" si="20"/>
        <v>584981.2929104709</v>
      </c>
      <c r="E62" s="1">
        <f>D62*SUM('Cost of Capital'!E$17:E$17)</f>
        <v>19011.892019590305</v>
      </c>
      <c r="F62" s="1">
        <f>D62*'Cost of Capital'!E$16</f>
        <v>29249.064645523544</v>
      </c>
      <c r="G62" s="1">
        <v>0</v>
      </c>
      <c r="H62" s="1">
        <f t="shared" si="21"/>
        <v>151173.46480000002</v>
      </c>
      <c r="I62" s="2">
        <f t="shared" si="22"/>
        <v>-61270.60528344</v>
      </c>
      <c r="J62" s="1">
        <f t="shared" si="23"/>
        <v>200356.3547369826</v>
      </c>
      <c r="K62" s="1">
        <f t="shared" si="24"/>
        <v>81204.43057489904</v>
      </c>
      <c r="L62" s="1">
        <f>(B$19-SUM(H$19:H61))*E$11</f>
        <v>18518.74943799991</v>
      </c>
      <c r="M62" s="1">
        <f t="shared" si="25"/>
        <v>299157.60147801286</v>
      </c>
      <c r="N62">
        <f>N61*(1/(1+'Cost of Capital'!E$21))</f>
        <v>0.05237489423943953</v>
      </c>
      <c r="O62" s="4">
        <f t="shared" si="26"/>
        <v>15668.347738335322</v>
      </c>
      <c r="P62" s="1"/>
      <c r="Q62" s="1"/>
      <c r="S62" s="1">
        <f t="shared" si="17"/>
        <v>50000</v>
      </c>
      <c r="T62" s="1">
        <f t="shared" si="12"/>
        <v>2618.7447119719764</v>
      </c>
      <c r="U62">
        <f t="shared" si="15"/>
        <v>44</v>
      </c>
      <c r="V62" s="30">
        <f t="shared" si="13"/>
        <v>-249157.60147801286</v>
      </c>
      <c r="W62" s="30">
        <f t="shared" si="14"/>
        <v>-13049.603026363346</v>
      </c>
    </row>
    <row r="63" spans="1:23" ht="12.75">
      <c r="A63">
        <f t="shared" si="8"/>
        <v>45</v>
      </c>
      <c r="B63" s="1">
        <f t="shared" si="18"/>
        <v>540029.8631521908</v>
      </c>
      <c r="C63" s="1">
        <f t="shared" si="19"/>
        <v>450127.0036356308</v>
      </c>
      <c r="D63" s="1">
        <f t="shared" si="20"/>
        <v>495078.4333939108</v>
      </c>
      <c r="E63" s="1">
        <f>D63*SUM('Cost of Capital'!E$17:E$17)</f>
        <v>16090.049085302102</v>
      </c>
      <c r="F63" s="1">
        <f>D63*'Cost of Capital'!E$16</f>
        <v>24753.92166969554</v>
      </c>
      <c r="G63" s="1">
        <v>0</v>
      </c>
      <c r="H63" s="1">
        <f t="shared" si="21"/>
        <v>151173.46480000002</v>
      </c>
      <c r="I63" s="2">
        <f t="shared" si="22"/>
        <v>-61270.60528344</v>
      </c>
      <c r="J63" s="1">
        <f t="shared" si="23"/>
        <v>192797.68149698258</v>
      </c>
      <c r="K63" s="1">
        <f t="shared" si="24"/>
        <v>78140.90031072704</v>
      </c>
      <c r="L63" s="1">
        <f>(B$19-SUM(H$19:H62))*E$11</f>
        <v>15873.213803999908</v>
      </c>
      <c r="M63" s="1">
        <f t="shared" si="25"/>
        <v>286031.5496697246</v>
      </c>
      <c r="N63">
        <f>N62*(1/(1+'Cost of Capital'!E$21))</f>
        <v>0.04897927154648285</v>
      </c>
      <c r="O63" s="4">
        <f t="shared" si="26"/>
        <v>14009.616942134739</v>
      </c>
      <c r="P63" s="1"/>
      <c r="Q63" s="1"/>
      <c r="S63" s="1">
        <f t="shared" si="17"/>
        <v>50000</v>
      </c>
      <c r="T63" s="1">
        <f t="shared" si="12"/>
        <v>2448.9635773241425</v>
      </c>
      <c r="U63">
        <f t="shared" si="15"/>
        <v>45</v>
      </c>
      <c r="V63" s="30">
        <f t="shared" si="13"/>
        <v>-236031.5496697246</v>
      </c>
      <c r="W63" s="30">
        <f t="shared" si="14"/>
        <v>-11560.653364810596</v>
      </c>
    </row>
    <row r="64" spans="1:23" ht="12.75">
      <c r="A64">
        <f t="shared" si="8"/>
        <v>46</v>
      </c>
      <c r="B64" s="1">
        <f t="shared" si="18"/>
        <v>450127.0036356308</v>
      </c>
      <c r="C64" s="1">
        <f t="shared" si="19"/>
        <v>360224.14411907084</v>
      </c>
      <c r="D64" s="1">
        <f t="shared" si="20"/>
        <v>405175.57387735083</v>
      </c>
      <c r="E64" s="1">
        <f>D64*SUM('Cost of Capital'!E$17:E$17)</f>
        <v>13168.206151013903</v>
      </c>
      <c r="F64" s="1">
        <f>D64*'Cost of Capital'!E$16</f>
        <v>20258.77869386754</v>
      </c>
      <c r="G64" s="1">
        <v>0</v>
      </c>
      <c r="H64" s="1">
        <f t="shared" si="21"/>
        <v>151173.46480000002</v>
      </c>
      <c r="I64" s="2">
        <f t="shared" si="22"/>
        <v>-61270.60528344</v>
      </c>
      <c r="J64" s="1">
        <f t="shared" si="23"/>
        <v>185239.00825698263</v>
      </c>
      <c r="K64" s="1">
        <f t="shared" si="24"/>
        <v>75077.37004655506</v>
      </c>
      <c r="L64" s="1">
        <f>(B$19-SUM(H$19:H63))*E$11</f>
        <v>13227.678169999905</v>
      </c>
      <c r="M64" s="1">
        <f t="shared" si="25"/>
        <v>272905.49786143645</v>
      </c>
      <c r="N64">
        <f>N63*(1/(1+'Cost of Capital'!E$21))</f>
        <v>0.04580379733574</v>
      </c>
      <c r="O64" s="4">
        <f t="shared" si="26"/>
        <v>12500.10811585446</v>
      </c>
      <c r="P64" s="1"/>
      <c r="Q64" s="1"/>
      <c r="S64" s="1">
        <f t="shared" si="17"/>
        <v>50000</v>
      </c>
      <c r="T64" s="1">
        <f t="shared" si="12"/>
        <v>2290.189866787</v>
      </c>
      <c r="U64">
        <f t="shared" si="15"/>
        <v>46</v>
      </c>
      <c r="V64" s="30">
        <f t="shared" si="13"/>
        <v>-222905.49786143645</v>
      </c>
      <c r="W64" s="30">
        <f t="shared" si="14"/>
        <v>-10209.918249067461</v>
      </c>
    </row>
    <row r="65" spans="1:23" ht="12.75">
      <c r="A65">
        <f t="shared" si="8"/>
        <v>47</v>
      </c>
      <c r="B65" s="1">
        <f t="shared" si="18"/>
        <v>360224.14411907084</v>
      </c>
      <c r="C65" s="1">
        <f t="shared" si="19"/>
        <v>270321.28460251086</v>
      </c>
      <c r="D65" s="1">
        <f t="shared" si="20"/>
        <v>315272.71436079085</v>
      </c>
      <c r="E65" s="1">
        <f>D65*SUM('Cost of Capital'!E$17:E$17)</f>
        <v>10246.363216725704</v>
      </c>
      <c r="F65" s="1">
        <f>D65*'Cost of Capital'!E$16</f>
        <v>15763.635718039543</v>
      </c>
      <c r="G65" s="1">
        <v>0</v>
      </c>
      <c r="H65" s="1">
        <f t="shared" si="21"/>
        <v>151173.46480000002</v>
      </c>
      <c r="I65" s="2">
        <f t="shared" si="22"/>
        <v>-61270.60528344</v>
      </c>
      <c r="J65" s="1">
        <f t="shared" si="23"/>
        <v>177680.33501698257</v>
      </c>
      <c r="K65" s="1">
        <f t="shared" si="24"/>
        <v>72013.83978238303</v>
      </c>
      <c r="L65" s="1">
        <f>(B$19-SUM(H$19:H64))*E$11</f>
        <v>10582.142535999901</v>
      </c>
      <c r="M65" s="1">
        <f t="shared" si="25"/>
        <v>259779.4460531482</v>
      </c>
      <c r="N65">
        <f>N64*(1/(1+'Cost of Capital'!E$21))</f>
        <v>0.04283419871572584</v>
      </c>
      <c r="O65" s="4">
        <f t="shared" si="26"/>
        <v>11127.44441450173</v>
      </c>
      <c r="P65" s="1"/>
      <c r="Q65" s="1"/>
      <c r="S65" s="1">
        <f t="shared" si="17"/>
        <v>50000</v>
      </c>
      <c r="T65" s="1">
        <f t="shared" si="12"/>
        <v>2141.7099357862917</v>
      </c>
      <c r="U65">
        <f t="shared" si="15"/>
        <v>47</v>
      </c>
      <c r="V65" s="30">
        <f t="shared" si="13"/>
        <v>-209779.4460531482</v>
      </c>
      <c r="W65" s="30">
        <f t="shared" si="14"/>
        <v>-8985.734478715438</v>
      </c>
    </row>
    <row r="66" spans="1:23" ht="12.75">
      <c r="A66">
        <f t="shared" si="8"/>
        <v>48</v>
      </c>
      <c r="B66" s="1">
        <f t="shared" si="18"/>
        <v>270321.28460251086</v>
      </c>
      <c r="C66" s="1">
        <f t="shared" si="19"/>
        <v>180418.42508595085</v>
      </c>
      <c r="D66" s="1">
        <f t="shared" si="20"/>
        <v>225369.85484423087</v>
      </c>
      <c r="E66" s="1">
        <f>D66*SUM('Cost of Capital'!E$17:E$17)</f>
        <v>7324.520282437504</v>
      </c>
      <c r="F66" s="1">
        <f>D66*'Cost of Capital'!E$16</f>
        <v>11268.492742211543</v>
      </c>
      <c r="G66" s="1">
        <v>0</v>
      </c>
      <c r="H66" s="1">
        <f t="shared" si="21"/>
        <v>151173.46480000002</v>
      </c>
      <c r="I66" s="2">
        <f t="shared" si="22"/>
        <v>-61270.60528344</v>
      </c>
      <c r="J66" s="1">
        <f t="shared" si="23"/>
        <v>170121.66177698263</v>
      </c>
      <c r="K66" s="1">
        <f t="shared" si="24"/>
        <v>68950.30951821106</v>
      </c>
      <c r="L66" s="1">
        <f>(B$19-SUM(H$19:H65))*E$11</f>
        <v>7936.606901999897</v>
      </c>
      <c r="M66" s="1">
        <f t="shared" si="25"/>
        <v>246653.39424486</v>
      </c>
      <c r="N66">
        <f>N65*(1/(1+'Cost of Capital'!E$21))</f>
        <v>0.040057128149649006</v>
      </c>
      <c r="O66" s="4">
        <f t="shared" si="26"/>
        <v>9880.226621812257</v>
      </c>
      <c r="P66" s="1"/>
      <c r="Q66" s="1"/>
      <c r="S66" s="1">
        <f t="shared" si="17"/>
        <v>50000</v>
      </c>
      <c r="T66" s="1">
        <f t="shared" si="12"/>
        <v>2002.8564074824503</v>
      </c>
      <c r="U66">
        <f t="shared" si="15"/>
        <v>48</v>
      </c>
      <c r="V66" s="30">
        <f t="shared" si="13"/>
        <v>-196653.39424486</v>
      </c>
      <c r="W66" s="30">
        <f t="shared" si="14"/>
        <v>-7877.370214329807</v>
      </c>
    </row>
    <row r="67" spans="1:23" ht="12.75">
      <c r="A67">
        <f t="shared" si="8"/>
        <v>49</v>
      </c>
      <c r="B67" s="1">
        <f t="shared" si="18"/>
        <v>180418.42508595085</v>
      </c>
      <c r="C67" s="1">
        <f t="shared" si="19"/>
        <v>90515.56556939083</v>
      </c>
      <c r="D67" s="1">
        <f t="shared" si="20"/>
        <v>135466.99532767083</v>
      </c>
      <c r="E67" s="1">
        <f>D67*SUM('Cost of Capital'!E$17:E$17)</f>
        <v>4402.677348149302</v>
      </c>
      <c r="F67" s="1">
        <f>D67*'Cost of Capital'!E$16</f>
        <v>6773.3497663835415</v>
      </c>
      <c r="G67" s="1">
        <v>0</v>
      </c>
      <c r="H67" s="1">
        <f t="shared" si="21"/>
        <v>151173.46480000002</v>
      </c>
      <c r="I67" s="2">
        <f t="shared" si="22"/>
        <v>-61270.60528344</v>
      </c>
      <c r="J67" s="1">
        <f t="shared" si="23"/>
        <v>162562.9885369826</v>
      </c>
      <c r="K67" s="1">
        <f t="shared" si="24"/>
        <v>65886.77925403905</v>
      </c>
      <c r="L67" s="1">
        <f>(B$19-SUM(H$19:H66))*E$11</f>
        <v>5291.071267999893</v>
      </c>
      <c r="M67" s="1">
        <f t="shared" si="25"/>
        <v>233527.34243657178</v>
      </c>
      <c r="N67">
        <f>N66*(1/(1+'Cost of Capital'!E$21))</f>
        <v>0.03746010346187033</v>
      </c>
      <c r="O67" s="4">
        <f t="shared" si="26"/>
        <v>8747.9584088496</v>
      </c>
      <c r="P67" s="1"/>
      <c r="Q67" s="1"/>
      <c r="S67" s="1">
        <f t="shared" si="17"/>
        <v>50000</v>
      </c>
      <c r="T67" s="1">
        <f t="shared" si="12"/>
        <v>1873.0051730935163</v>
      </c>
      <c r="U67">
        <f t="shared" si="15"/>
        <v>49</v>
      </c>
      <c r="V67" s="30">
        <f t="shared" si="13"/>
        <v>-183527.34243657178</v>
      </c>
      <c r="W67" s="30">
        <f t="shared" si="14"/>
        <v>-6874.953235756083</v>
      </c>
    </row>
    <row r="68" spans="1:23" ht="12.75">
      <c r="A68">
        <f t="shared" si="8"/>
        <v>50</v>
      </c>
      <c r="B68" s="1">
        <f t="shared" si="18"/>
        <v>90515.56556939083</v>
      </c>
      <c r="C68" s="1">
        <f t="shared" si="19"/>
        <v>612.7060528308211</v>
      </c>
      <c r="D68" s="1">
        <f t="shared" si="20"/>
        <v>45564.13581111083</v>
      </c>
      <c r="E68" s="1">
        <f>D68*SUM('Cost of Capital'!E$17:E$17)</f>
        <v>1480.834413861102</v>
      </c>
      <c r="F68" s="1">
        <f>D68*'Cost of Capital'!E$16</f>
        <v>2278.2067905555414</v>
      </c>
      <c r="G68" s="1">
        <v>0</v>
      </c>
      <c r="H68" s="1">
        <f t="shared" si="21"/>
        <v>151173.46480000002</v>
      </c>
      <c r="I68" s="2">
        <f t="shared" si="22"/>
        <v>-61270.60528344</v>
      </c>
      <c r="J68" s="1">
        <f t="shared" si="23"/>
        <v>155004.3152969826</v>
      </c>
      <c r="K68" s="1">
        <f t="shared" si="24"/>
        <v>62823.24898986704</v>
      </c>
      <c r="L68" s="1">
        <f>(B$19-SUM(H$19:H67))*E$11</f>
        <v>2645.5356339998893</v>
      </c>
      <c r="M68" s="1">
        <f t="shared" si="25"/>
        <v>220401.29062828358</v>
      </c>
      <c r="N68">
        <f>N67*(1/(1+'Cost of Capital'!E$21))</f>
        <v>0.035031451733923795</v>
      </c>
      <c r="O68" s="4">
        <f t="shared" si="26"/>
        <v>7720.977174739227</v>
      </c>
      <c r="P68" s="1"/>
      <c r="Q68" s="1"/>
      <c r="S68" s="1">
        <f t="shared" si="17"/>
        <v>50000</v>
      </c>
      <c r="T68" s="1">
        <f t="shared" si="12"/>
        <v>1751.5725866961898</v>
      </c>
      <c r="U68">
        <f t="shared" si="15"/>
        <v>50</v>
      </c>
      <c r="V68" s="30">
        <f t="shared" si="13"/>
        <v>-170401.29062828358</v>
      </c>
      <c r="W68" s="30">
        <f t="shared" si="14"/>
        <v>-5969.404588043037</v>
      </c>
    </row>
    <row r="69" spans="12:23" ht="12.75">
      <c r="L69" s="1"/>
      <c r="M69" s="1"/>
      <c r="S69" s="1"/>
      <c r="T69" s="1"/>
      <c r="V69" s="30"/>
      <c r="W69" s="30"/>
    </row>
    <row r="70" spans="5:23" ht="12.75">
      <c r="E70" s="1">
        <f>SUM(E19:E68)</f>
        <v>4615542.682934036</v>
      </c>
      <c r="F70" s="1">
        <f>SUM(F19:F68)</f>
        <v>7212679.106088417</v>
      </c>
      <c r="G70" s="1">
        <f>SUM(G19:G68)</f>
        <v>7557161.505351996</v>
      </c>
      <c r="H70" s="1">
        <f>SUM(H19:H68)</f>
        <v>7558673.240000007</v>
      </c>
      <c r="I70" s="1">
        <f>SUM(I19:I68)</f>
        <v>-612.7060528361762</v>
      </c>
      <c r="K70" s="1">
        <f>SUM(K19:K68)</f>
        <v>4916198.449617046</v>
      </c>
      <c r="L70" s="1">
        <f>SUM(L19:L68)</f>
        <v>3373057.933349998</v>
      </c>
      <c r="M70" s="1">
        <f>SUM(M19:M68)</f>
        <v>27676151.411989506</v>
      </c>
      <c r="O70" s="1">
        <f>SUM(O19:O68)</f>
        <v>10453885.723813022</v>
      </c>
      <c r="P70" s="1">
        <v>6993954</v>
      </c>
      <c r="Q70" s="1">
        <f>SUM(Q19:Q58)</f>
        <v>93973985.74373198</v>
      </c>
      <c r="R70" s="22" t="s">
        <v>32</v>
      </c>
      <c r="S70" s="1">
        <f>SUM(S19:S68)</f>
        <v>21535000</v>
      </c>
      <c r="T70" s="1">
        <f>SUM(T19:T68)</f>
        <v>10908663.65221372</v>
      </c>
      <c r="V70" s="2">
        <f>SUM(V19:V68)</f>
        <v>-6141151.411989502</v>
      </c>
      <c r="W70" s="2">
        <f>SUM(W19:W68)</f>
        <v>454777.92840070045</v>
      </c>
    </row>
    <row r="71" ht="12.75" hidden="1">
      <c r="M71" s="3"/>
    </row>
    <row r="72" spans="18:20" ht="12.75" hidden="1">
      <c r="R72" s="22" t="s">
        <v>58</v>
      </c>
      <c r="S72" s="2">
        <f>+M70</f>
        <v>27676151.411989506</v>
      </c>
      <c r="T72" s="2">
        <f>+O70</f>
        <v>10453885.723813022</v>
      </c>
    </row>
    <row r="73" ht="12.75" hidden="1"/>
    <row r="74" spans="18:20" ht="12.75" hidden="1">
      <c r="R74" t="s">
        <v>33</v>
      </c>
      <c r="S74" s="1">
        <f>+S70-S72</f>
        <v>-6141151.411989506</v>
      </c>
      <c r="T74" s="1">
        <f>+T70-T72</f>
        <v>454777.92840069905</v>
      </c>
    </row>
  </sheetData>
  <sheetProtection/>
  <mergeCells count="4">
    <mergeCell ref="A3:W3"/>
    <mergeCell ref="M15:O15"/>
    <mergeCell ref="S15:T15"/>
    <mergeCell ref="A4:W4"/>
  </mergeCells>
  <printOptions/>
  <pageMargins left="0.25" right="0.25" top="0.25" bottom="0.25" header="0.5" footer="0.5"/>
  <pageSetup fitToHeight="1" fitToWidth="1" horizontalDpi="600" verticalDpi="600" orientation="landscape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L45"/>
  <sheetViews>
    <sheetView zoomScalePageLayoutView="0" workbookViewId="0" topLeftCell="A1">
      <selection activeCell="G35" sqref="G35"/>
    </sheetView>
  </sheetViews>
  <sheetFormatPr defaultColWidth="9.140625" defaultRowHeight="12.75"/>
  <cols>
    <col min="5" max="5" width="9.28125" style="0" customWidth="1"/>
  </cols>
  <sheetData>
    <row r="2" spans="1:11" ht="12.75">
      <c r="A2" s="32" t="s">
        <v>56</v>
      </c>
      <c r="B2" s="32"/>
      <c r="C2" s="32"/>
      <c r="D2" s="32"/>
      <c r="E2" s="32"/>
      <c r="G2" s="32" t="s">
        <v>57</v>
      </c>
      <c r="H2" s="32"/>
      <c r="I2" s="32"/>
      <c r="J2" s="32"/>
      <c r="K2" s="32"/>
    </row>
    <row r="4" spans="1:7" ht="12.75">
      <c r="A4" t="s">
        <v>8</v>
      </c>
      <c r="G4" t="s">
        <v>8</v>
      </c>
    </row>
    <row r="6" spans="2:11" ht="12.75">
      <c r="B6" t="s">
        <v>51</v>
      </c>
      <c r="E6" s="3">
        <v>0.5</v>
      </c>
      <c r="H6" t="s">
        <v>51</v>
      </c>
      <c r="K6" s="3">
        <v>0.5</v>
      </c>
    </row>
    <row r="7" spans="2:11" ht="12.75">
      <c r="B7" t="s">
        <v>9</v>
      </c>
      <c r="E7" s="3">
        <v>0.5</v>
      </c>
      <c r="H7" t="s">
        <v>9</v>
      </c>
      <c r="K7" s="3">
        <v>0.5</v>
      </c>
    </row>
    <row r="8" spans="5:11" ht="12.75">
      <c r="E8" s="3">
        <f>SUM(E6:E7)</f>
        <v>1</v>
      </c>
      <c r="K8" s="3">
        <f>SUM(K6:K7)</f>
        <v>1</v>
      </c>
    </row>
    <row r="10" spans="1:7" ht="12.75">
      <c r="A10" t="s">
        <v>40</v>
      </c>
      <c r="G10" t="s">
        <v>40</v>
      </c>
    </row>
    <row r="12" spans="2:11" ht="12.75">
      <c r="B12" t="s">
        <v>51</v>
      </c>
      <c r="E12" s="3">
        <v>0.065</v>
      </c>
      <c r="H12" t="s">
        <v>51</v>
      </c>
      <c r="K12" s="3">
        <v>0.065</v>
      </c>
    </row>
    <row r="13" spans="2:11" ht="12.75">
      <c r="B13" t="s">
        <v>22</v>
      </c>
      <c r="E13" s="3">
        <v>0.1</v>
      </c>
      <c r="H13" t="s">
        <v>22</v>
      </c>
      <c r="K13" s="3">
        <v>0.13</v>
      </c>
    </row>
    <row r="15" spans="2:11" ht="12.75">
      <c r="B15" t="s">
        <v>21</v>
      </c>
      <c r="E15" s="3">
        <f>(E12*E6+E13*E7)</f>
        <v>0.0825</v>
      </c>
      <c r="H15" t="s">
        <v>21</v>
      </c>
      <c r="K15" s="3">
        <f>(K12*K6+K13*K7)</f>
        <v>0.0975</v>
      </c>
    </row>
    <row r="16" spans="2:11" ht="12.75">
      <c r="B16" t="s">
        <v>23</v>
      </c>
      <c r="E16" s="3">
        <f>E13*E7</f>
        <v>0.05</v>
      </c>
      <c r="G16" s="3"/>
      <c r="H16" t="s">
        <v>23</v>
      </c>
      <c r="K16" s="3">
        <f>K13*K7</f>
        <v>0.065</v>
      </c>
    </row>
    <row r="17" spans="2:11" ht="12.75">
      <c r="B17" t="s">
        <v>52</v>
      </c>
      <c r="E17" s="3">
        <f>E12*E6</f>
        <v>0.0325</v>
      </c>
      <c r="H17" t="s">
        <v>52</v>
      </c>
      <c r="K17" s="3">
        <f>K12*K6</f>
        <v>0.0325</v>
      </c>
    </row>
    <row r="18" spans="5:11" ht="12.75">
      <c r="E18" s="3"/>
      <c r="K18" s="3"/>
    </row>
    <row r="19" spans="1:11" ht="12.75">
      <c r="A19" t="s">
        <v>50</v>
      </c>
      <c r="E19" s="3">
        <v>0.4053</v>
      </c>
      <c r="G19" t="s">
        <v>50</v>
      </c>
      <c r="K19" s="3">
        <v>0.4053</v>
      </c>
    </row>
    <row r="20" ht="12.75">
      <c r="F20" s="3"/>
    </row>
    <row r="21" spans="2:11" ht="12.75">
      <c r="B21" s="5" t="s">
        <v>20</v>
      </c>
      <c r="E21" s="20">
        <f>E15-(E6*E12)*E19</f>
        <v>0.06932775000000001</v>
      </c>
      <c r="H21" s="5" t="s">
        <v>20</v>
      </c>
      <c r="K21" s="20">
        <f>K15-(K6*K12)*K19</f>
        <v>0.08432775</v>
      </c>
    </row>
    <row r="22" ht="12.75">
      <c r="F22" s="3"/>
    </row>
    <row r="24" spans="2:11" ht="12.75">
      <c r="B24" s="5" t="s">
        <v>53</v>
      </c>
      <c r="E24" s="20">
        <f>+J34</f>
        <v>0.11657000000000001</v>
      </c>
      <c r="H24" s="5" t="s">
        <v>53</v>
      </c>
      <c r="K24" s="20">
        <f>+J45</f>
        <v>0.141791</v>
      </c>
    </row>
    <row r="25" spans="1:7" ht="15.75">
      <c r="A25" s="9"/>
      <c r="B25" s="10"/>
      <c r="C25" s="9"/>
      <c r="D25" s="10"/>
      <c r="E25" s="9"/>
      <c r="F25" s="10"/>
      <c r="G25" s="9"/>
    </row>
    <row r="26" spans="1:7" ht="15.75">
      <c r="A26" s="10"/>
      <c r="B26" s="10"/>
      <c r="C26" s="11"/>
      <c r="D26" s="11"/>
      <c r="E26" s="11"/>
      <c r="F26" s="11"/>
      <c r="G26" s="11" t="s">
        <v>41</v>
      </c>
    </row>
    <row r="27" spans="1:10" ht="15.75">
      <c r="A27" s="10"/>
      <c r="B27" s="10"/>
      <c r="C27" s="11" t="s">
        <v>42</v>
      </c>
      <c r="D27" s="11"/>
      <c r="E27" s="11" t="s">
        <v>43</v>
      </c>
      <c r="F27" s="11"/>
      <c r="G27" s="11" t="s">
        <v>44</v>
      </c>
      <c r="I27" t="s">
        <v>2</v>
      </c>
      <c r="J27" s="18" t="s">
        <v>54</v>
      </c>
    </row>
    <row r="28" spans="1:10" ht="15.75">
      <c r="A28" s="12" t="s">
        <v>45</v>
      </c>
      <c r="B28" s="10"/>
      <c r="C28" s="13" t="s">
        <v>46</v>
      </c>
      <c r="D28" s="11"/>
      <c r="E28" s="13" t="s">
        <v>47</v>
      </c>
      <c r="F28" s="11"/>
      <c r="G28" s="13" t="s">
        <v>48</v>
      </c>
      <c r="I28" t="s">
        <v>49</v>
      </c>
      <c r="J28" s="18" t="s">
        <v>55</v>
      </c>
    </row>
    <row r="29" spans="1:7" ht="15.75">
      <c r="A29" s="9"/>
      <c r="B29" s="10"/>
      <c r="C29" s="9"/>
      <c r="D29" s="10"/>
      <c r="E29" s="9"/>
      <c r="F29" s="10"/>
      <c r="G29" s="9"/>
    </row>
    <row r="30" spans="1:10" ht="15.75">
      <c r="A30" s="9" t="s">
        <v>9</v>
      </c>
      <c r="B30" s="10"/>
      <c r="C30" s="14">
        <v>0.5</v>
      </c>
      <c r="D30" s="15"/>
      <c r="E30" s="16">
        <v>0.1</v>
      </c>
      <c r="F30" s="15"/>
      <c r="G30" s="16">
        <f>C30*E30</f>
        <v>0.05</v>
      </c>
      <c r="I30" s="19">
        <v>1.6814</v>
      </c>
      <c r="J30" s="3">
        <f>+G30*I30</f>
        <v>0.08407</v>
      </c>
    </row>
    <row r="31" spans="1:7" ht="15.75">
      <c r="A31" s="9"/>
      <c r="B31" s="10"/>
      <c r="C31" s="14"/>
      <c r="D31" s="15"/>
      <c r="E31" s="16"/>
      <c r="F31" s="15"/>
      <c r="G31" s="17"/>
    </row>
    <row r="32" spans="1:10" ht="15.75">
      <c r="A32" s="9" t="s">
        <v>51</v>
      </c>
      <c r="B32" s="10"/>
      <c r="C32" s="14">
        <v>0.5</v>
      </c>
      <c r="D32" s="15"/>
      <c r="E32" s="16">
        <v>0.065</v>
      </c>
      <c r="F32" s="15"/>
      <c r="G32" s="16">
        <f>C32*E32</f>
        <v>0.0325</v>
      </c>
      <c r="J32" s="3">
        <f>+G32</f>
        <v>0.0325</v>
      </c>
    </row>
    <row r="33" spans="1:7" ht="15.75">
      <c r="A33" s="9"/>
      <c r="B33" s="10"/>
      <c r="C33" s="14"/>
      <c r="D33" s="15"/>
      <c r="E33" s="16"/>
      <c r="F33" s="15"/>
      <c r="G33" s="17"/>
    </row>
    <row r="34" spans="1:12" ht="15.75">
      <c r="A34" s="9" t="s">
        <v>32</v>
      </c>
      <c r="B34" s="10"/>
      <c r="C34" s="14">
        <f>C30+C32</f>
        <v>1</v>
      </c>
      <c r="D34" s="15"/>
      <c r="E34" s="16"/>
      <c r="F34" s="15"/>
      <c r="G34" s="16">
        <f>G30+G32</f>
        <v>0.0825</v>
      </c>
      <c r="J34" s="3">
        <f>+J30+J32</f>
        <v>0.11657000000000001</v>
      </c>
      <c r="L34" s="3"/>
    </row>
    <row r="37" spans="1:7" ht="15.75">
      <c r="A37" s="10"/>
      <c r="B37" s="10"/>
      <c r="C37" s="11"/>
      <c r="D37" s="11"/>
      <c r="E37" s="11"/>
      <c r="F37" s="11"/>
      <c r="G37" s="11" t="s">
        <v>41</v>
      </c>
    </row>
    <row r="38" spans="1:10" ht="15.75">
      <c r="A38" s="10"/>
      <c r="B38" s="10"/>
      <c r="C38" s="11" t="s">
        <v>42</v>
      </c>
      <c r="D38" s="11"/>
      <c r="E38" s="11" t="s">
        <v>43</v>
      </c>
      <c r="F38" s="11"/>
      <c r="G38" s="11" t="s">
        <v>44</v>
      </c>
      <c r="I38" t="s">
        <v>2</v>
      </c>
      <c r="J38" s="18" t="s">
        <v>54</v>
      </c>
    </row>
    <row r="39" spans="1:10" ht="15.75">
      <c r="A39" s="12" t="s">
        <v>45</v>
      </c>
      <c r="B39" s="10"/>
      <c r="C39" s="13" t="s">
        <v>46</v>
      </c>
      <c r="D39" s="11"/>
      <c r="E39" s="13" t="s">
        <v>47</v>
      </c>
      <c r="F39" s="11"/>
      <c r="G39" s="13" t="s">
        <v>48</v>
      </c>
      <c r="I39" t="s">
        <v>49</v>
      </c>
      <c r="J39" s="18" t="s">
        <v>55</v>
      </c>
    </row>
    <row r="40" spans="1:7" ht="15.75">
      <c r="A40" s="9"/>
      <c r="B40" s="10"/>
      <c r="C40" s="9"/>
      <c r="D40" s="10"/>
      <c r="E40" s="9"/>
      <c r="F40" s="10"/>
      <c r="G40" s="9"/>
    </row>
    <row r="41" spans="1:10" ht="15.75">
      <c r="A41" s="9" t="s">
        <v>9</v>
      </c>
      <c r="B41" s="10"/>
      <c r="C41" s="14">
        <v>0.5</v>
      </c>
      <c r="D41" s="15"/>
      <c r="E41" s="16">
        <v>0.13</v>
      </c>
      <c r="F41" s="15"/>
      <c r="G41" s="16">
        <f>C41*E41</f>
        <v>0.065</v>
      </c>
      <c r="I41" s="19">
        <v>1.6814</v>
      </c>
      <c r="J41" s="3">
        <f>+G41*I41</f>
        <v>0.109291</v>
      </c>
    </row>
    <row r="42" spans="1:7" ht="15.75">
      <c r="A42" s="9"/>
      <c r="B42" s="10"/>
      <c r="C42" s="14"/>
      <c r="D42" s="15"/>
      <c r="E42" s="16"/>
      <c r="F42" s="15"/>
      <c r="G42" s="17"/>
    </row>
    <row r="43" spans="1:10" ht="15.75">
      <c r="A43" s="9" t="s">
        <v>51</v>
      </c>
      <c r="B43" s="10"/>
      <c r="C43" s="14">
        <v>0.5</v>
      </c>
      <c r="D43" s="15"/>
      <c r="E43" s="16">
        <v>0.065</v>
      </c>
      <c r="F43" s="15"/>
      <c r="G43" s="16">
        <f>C43*E43</f>
        <v>0.0325</v>
      </c>
      <c r="J43" s="3">
        <f>+G43</f>
        <v>0.0325</v>
      </c>
    </row>
    <row r="44" spans="1:7" ht="15.75">
      <c r="A44" s="9"/>
      <c r="B44" s="10"/>
      <c r="C44" s="14"/>
      <c r="D44" s="15"/>
      <c r="E44" s="16"/>
      <c r="F44" s="15"/>
      <c r="G44" s="17"/>
    </row>
    <row r="45" spans="1:10" ht="15.75">
      <c r="A45" s="9" t="s">
        <v>32</v>
      </c>
      <c r="B45" s="10"/>
      <c r="C45" s="14">
        <f>C41+C43</f>
        <v>1</v>
      </c>
      <c r="D45" s="15"/>
      <c r="E45" s="16"/>
      <c r="F45" s="15"/>
      <c r="G45" s="16">
        <f>G41+G43</f>
        <v>0.0975</v>
      </c>
      <c r="J45" s="3">
        <f>+J41+J43</f>
        <v>0.141791</v>
      </c>
    </row>
  </sheetData>
  <sheetProtection/>
  <mergeCells count="2">
    <mergeCell ref="A2:E2"/>
    <mergeCell ref="G2:K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1901-01-01T05:00:00Z</cp:lastPrinted>
  <dcterms:created xsi:type="dcterms:W3CDTF">1901-01-01T05:00:00Z</dcterms:created>
  <dcterms:modified xsi:type="dcterms:W3CDTF">2009-01-02T14:02:01Z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201128360</vt:i4>
  </property>
  <property fmtid="{D5CDD505-2E9C-101B-9397-08002B2CF9AE}" pid="3" name="_ReviewingToolsShownOnce">
    <vt:lpwstr/>
  </property>
</Properties>
</file>